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trlProps/ctrlProp2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RAMOSVI7\Downloads\Orçamento Pessoal - Previ Novartis\"/>
    </mc:Choice>
  </mc:AlternateContent>
  <xr:revisionPtr revIDLastSave="0" documentId="13_ncr:1_{507DF621-02F9-42AB-9A55-6D30ED54A6CF}" xr6:coauthVersionLast="47" xr6:coauthVersionMax="47" xr10:uidLastSave="{00000000-0000-0000-0000-000000000000}"/>
  <bookViews>
    <workbookView showSheetTabs="0" xWindow="-110" yWindow="-110" windowWidth="19420" windowHeight="11500" tabRatio="564" xr2:uid="{00000000-000D-0000-FFFF-FFFF00000000}"/>
  </bookViews>
  <sheets>
    <sheet name="INDEX" sheetId="9" r:id="rId1"/>
    <sheet name="MODELO" sheetId="16" r:id="rId2"/>
    <sheet name="RECEITAS" sheetId="15" r:id="rId3"/>
    <sheet name="DESPESAS" sheetId="14" r:id="rId4"/>
    <sheet name="INVESTIMENTOS" sheetId="17" r:id="rId5"/>
    <sheet name="DASHBOARD" sheetId="10" r:id="rId6"/>
    <sheet name="ANALISE MENSAL" sheetId="11" r:id="rId7"/>
    <sheet name="ANALISE RECEITA" sheetId="12" r:id="rId8"/>
    <sheet name="ANALISE DESPESA" sheetId="13" r:id="rId9"/>
    <sheet name="SUPORTE" sheetId="6" r:id="rId10"/>
  </sheets>
  <definedNames>
    <definedName name="listbox_despesas">SUPORTE!$D$47:$D$54</definedName>
    <definedName name="listbox_receitas">SUPORTE!$F$47:$F$51</definedName>
    <definedName name="MESES">SUPORTE!$B$47:$B$59</definedName>
    <definedName name="meta_mes" localSheetId="1">MODELO!#REF!</definedName>
    <definedName name="meta_mes">INDEX!$P$5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33" i="6" s="1"/>
  <c r="I16" i="6"/>
  <c r="D16" i="6"/>
  <c r="D20" i="6" s="1"/>
  <c r="I20" i="6"/>
  <c r="F7" i="6"/>
  <c r="I7" i="6"/>
  <c r="C31" i="6" s="1"/>
  <c r="J7" i="6"/>
  <c r="I17" i="6" s="1"/>
  <c r="K7" i="6"/>
  <c r="L7" i="6"/>
  <c r="M7" i="6"/>
  <c r="N7" i="6"/>
  <c r="E10" i="6"/>
  <c r="E7" i="6" s="1"/>
  <c r="F10" i="6"/>
  <c r="G10" i="6"/>
  <c r="G7" i="6" s="1"/>
  <c r="H10" i="6"/>
  <c r="H7" i="6" s="1"/>
  <c r="I10" i="6"/>
  <c r="J10" i="6"/>
  <c r="K10" i="6"/>
  <c r="L10" i="6"/>
  <c r="M10" i="6"/>
  <c r="N10" i="6"/>
  <c r="O10" i="6"/>
  <c r="O7" i="6" s="1"/>
  <c r="D10" i="6"/>
  <c r="D7" i="6" s="1"/>
  <c r="D8" i="6"/>
  <c r="O21" i="17"/>
  <c r="N21" i="17"/>
  <c r="M21" i="17"/>
  <c r="L21" i="17"/>
  <c r="K21" i="17"/>
  <c r="J21" i="17"/>
  <c r="I21" i="17"/>
  <c r="H21" i="17"/>
  <c r="G21" i="17"/>
  <c r="F21" i="17"/>
  <c r="E21" i="17"/>
  <c r="D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F97" i="6"/>
  <c r="F73" i="6"/>
  <c r="H23" i="6" l="1"/>
  <c r="C32" i="6"/>
  <c r="P10" i="6"/>
  <c r="P7" i="6"/>
  <c r="D21" i="6"/>
  <c r="D17" i="6"/>
  <c r="T9" i="17"/>
  <c r="U9" i="17" s="1"/>
  <c r="V9" i="17" s="1"/>
  <c r="T10" i="17"/>
  <c r="U10" i="17" s="1"/>
  <c r="V10" i="17" s="1"/>
  <c r="T11" i="17"/>
  <c r="U11" i="17" s="1"/>
  <c r="V11" i="17" s="1"/>
  <c r="T12" i="17"/>
  <c r="U12" i="17" s="1"/>
  <c r="V12" i="17" s="1"/>
  <c r="T13" i="17"/>
  <c r="U13" i="17" s="1"/>
  <c r="V13" i="17" s="1"/>
  <c r="T14" i="17"/>
  <c r="U14" i="17" s="1"/>
  <c r="V14" i="17" s="1"/>
  <c r="T16" i="17"/>
  <c r="U16" i="17" s="1"/>
  <c r="V16" i="17" s="1"/>
  <c r="T17" i="17"/>
  <c r="U17" i="17" s="1"/>
  <c r="V17" i="17" s="1"/>
  <c r="T18" i="17"/>
  <c r="U18" i="17" s="1"/>
  <c r="V18" i="17" s="1"/>
  <c r="T7" i="17"/>
  <c r="U7" i="17" s="1"/>
  <c r="T19" i="17"/>
  <c r="U19" i="17" s="1"/>
  <c r="V19" i="17" s="1"/>
  <c r="T15" i="17"/>
  <c r="U15" i="17" s="1"/>
  <c r="V15" i="17" s="1"/>
  <c r="T8" i="17"/>
  <c r="T20" i="17"/>
  <c r="U20" i="17" s="1"/>
  <c r="P21" i="17"/>
  <c r="E106" i="6"/>
  <c r="E107" i="6" s="1"/>
  <c r="F106" i="6"/>
  <c r="F107" i="6" s="1"/>
  <c r="G106" i="6"/>
  <c r="G107" i="6" s="1"/>
  <c r="H106" i="6"/>
  <c r="H107" i="6" s="1"/>
  <c r="I106" i="6"/>
  <c r="I107" i="6" s="1"/>
  <c r="J106" i="6"/>
  <c r="J107" i="6" s="1"/>
  <c r="K106" i="6"/>
  <c r="K107" i="6" s="1"/>
  <c r="L106" i="6"/>
  <c r="L107" i="6" s="1"/>
  <c r="M106" i="6"/>
  <c r="M107" i="6" s="1"/>
  <c r="N106" i="6"/>
  <c r="N107" i="6" s="1"/>
  <c r="O106" i="6"/>
  <c r="O107" i="6" s="1"/>
  <c r="D106" i="6"/>
  <c r="B101" i="6"/>
  <c r="E82" i="6"/>
  <c r="F82" i="6"/>
  <c r="G82" i="6"/>
  <c r="H82" i="6"/>
  <c r="I82" i="6"/>
  <c r="J82" i="6"/>
  <c r="K82" i="6"/>
  <c r="L82" i="6"/>
  <c r="M82" i="6"/>
  <c r="N82" i="6"/>
  <c r="O82" i="6"/>
  <c r="D82" i="6"/>
  <c r="B77" i="6"/>
  <c r="P9" i="14"/>
  <c r="S16" i="6" l="1"/>
  <c r="K17" i="6"/>
  <c r="V7" i="17"/>
  <c r="V20" i="17"/>
  <c r="U8" i="17"/>
  <c r="V8" i="17" s="1"/>
  <c r="E101" i="6"/>
  <c r="N101" i="6"/>
  <c r="F101" i="6"/>
  <c r="G101" i="6"/>
  <c r="O101" i="6"/>
  <c r="H101" i="6"/>
  <c r="J101" i="6"/>
  <c r="I101" i="6"/>
  <c r="L101" i="6"/>
  <c r="M101" i="6"/>
  <c r="K101" i="6"/>
  <c r="D101" i="6"/>
  <c r="P82" i="6"/>
  <c r="F35" i="6"/>
  <c r="F36" i="6"/>
  <c r="F37" i="6"/>
  <c r="F38" i="6"/>
  <c r="F39" i="6"/>
  <c r="F40" i="6"/>
  <c r="F41" i="6"/>
  <c r="F42" i="6"/>
  <c r="F30" i="6"/>
  <c r="F31" i="6"/>
  <c r="F32" i="6"/>
  <c r="F33" i="6"/>
  <c r="F29" i="6"/>
  <c r="G42" i="6" l="1"/>
  <c r="G38" i="6"/>
  <c r="G41" i="6"/>
  <c r="G37" i="6"/>
  <c r="G40" i="6"/>
  <c r="G36" i="6"/>
  <c r="G39" i="6"/>
  <c r="G35" i="6"/>
  <c r="D35" i="6" s="1"/>
  <c r="D37" i="6" l="1"/>
  <c r="D41" i="6"/>
  <c r="D36" i="6"/>
  <c r="D38" i="6"/>
  <c r="D39" i="6"/>
  <c r="D40" i="6"/>
  <c r="D42" i="6"/>
  <c r="K38" i="6" l="1"/>
  <c r="K39" i="6"/>
  <c r="K36" i="6"/>
  <c r="K37" i="6"/>
  <c r="G33" i="6"/>
  <c r="G29" i="6"/>
  <c r="G32" i="6"/>
  <c r="G31" i="6"/>
  <c r="G30" i="6"/>
  <c r="E9" i="6"/>
  <c r="F9" i="6"/>
  <c r="G9" i="6"/>
  <c r="H9" i="6"/>
  <c r="I9" i="6"/>
  <c r="J9" i="6"/>
  <c r="K9" i="6"/>
  <c r="L9" i="6"/>
  <c r="M9" i="6"/>
  <c r="N9" i="6"/>
  <c r="O9" i="6"/>
  <c r="D9" i="6"/>
  <c r="E8" i="6"/>
  <c r="F8" i="6"/>
  <c r="G8" i="6"/>
  <c r="H8" i="6"/>
  <c r="I8" i="6"/>
  <c r="C29" i="6" s="1"/>
  <c r="J8" i="6"/>
  <c r="I19" i="6" s="1"/>
  <c r="K8" i="6"/>
  <c r="L8" i="6"/>
  <c r="M8" i="6"/>
  <c r="N8" i="6"/>
  <c r="O8" i="6"/>
  <c r="M25" i="15"/>
  <c r="L25" i="15"/>
  <c r="K25" i="15"/>
  <c r="J25" i="15"/>
  <c r="I25" i="15"/>
  <c r="H25" i="15"/>
  <c r="G25" i="15"/>
  <c r="F25" i="15"/>
  <c r="E25" i="15"/>
  <c r="D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O25" i="15"/>
  <c r="N25" i="15"/>
  <c r="P7" i="15"/>
  <c r="O52" i="14"/>
  <c r="N52" i="14"/>
  <c r="M52" i="14"/>
  <c r="L52" i="14"/>
  <c r="K52" i="14"/>
  <c r="J52" i="14"/>
  <c r="I52" i="14"/>
  <c r="H52" i="14"/>
  <c r="G52" i="14"/>
  <c r="F52" i="14"/>
  <c r="E52" i="14"/>
  <c r="D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8" i="14"/>
  <c r="P7" i="14"/>
  <c r="N20" i="6" l="1"/>
  <c r="T8" i="14"/>
  <c r="T28" i="14"/>
  <c r="T22" i="14"/>
  <c r="T34" i="14"/>
  <c r="T49" i="14"/>
  <c r="T47" i="14"/>
  <c r="T40" i="14"/>
  <c r="T11" i="14"/>
  <c r="T51" i="14"/>
  <c r="T20" i="14"/>
  <c r="T31" i="14"/>
  <c r="T26" i="14"/>
  <c r="T39" i="14"/>
  <c r="T32" i="14"/>
  <c r="T12" i="14"/>
  <c r="T45" i="14"/>
  <c r="T18" i="14"/>
  <c r="T41" i="14"/>
  <c r="T15" i="14"/>
  <c r="T24" i="14"/>
  <c r="T14" i="14"/>
  <c r="T7" i="14"/>
  <c r="T43" i="14"/>
  <c r="T46" i="14"/>
  <c r="T10" i="14"/>
  <c r="T33" i="14"/>
  <c r="T16" i="14"/>
  <c r="T35" i="14"/>
  <c r="T30" i="14"/>
  <c r="T25" i="14"/>
  <c r="P52" i="14"/>
  <c r="T21" i="14"/>
  <c r="T37" i="14"/>
  <c r="T23" i="14"/>
  <c r="T27" i="14"/>
  <c r="T50" i="14"/>
  <c r="T17" i="14"/>
  <c r="T36" i="14"/>
  <c r="T42" i="14"/>
  <c r="T13" i="14"/>
  <c r="T44" i="14"/>
  <c r="T19" i="14"/>
  <c r="T29" i="14"/>
  <c r="T9" i="14"/>
  <c r="T48" i="14"/>
  <c r="T38" i="14"/>
  <c r="C30" i="6"/>
  <c r="L37" i="6"/>
  <c r="M37" i="6"/>
  <c r="N37" i="6" s="1"/>
  <c r="L38" i="6"/>
  <c r="M38" i="6"/>
  <c r="N38" i="6" s="1"/>
  <c r="L36" i="6"/>
  <c r="D77" i="6" s="1"/>
  <c r="M36" i="6"/>
  <c r="N36" i="6" s="1"/>
  <c r="D32" i="6"/>
  <c r="D30" i="6"/>
  <c r="D33" i="6"/>
  <c r="D31" i="6"/>
  <c r="D29" i="6"/>
  <c r="P8" i="15"/>
  <c r="T8" i="15" s="1"/>
  <c r="T12" i="15" l="1"/>
  <c r="U12" i="15" s="1"/>
  <c r="T23" i="15"/>
  <c r="U23" i="15" s="1"/>
  <c r="V23" i="15" s="1"/>
  <c r="T11" i="15"/>
  <c r="U11" i="15" s="1"/>
  <c r="V11" i="15" s="1"/>
  <c r="T18" i="15"/>
  <c r="U18" i="15" s="1"/>
  <c r="V18" i="15" s="1"/>
  <c r="T14" i="15"/>
  <c r="U14" i="15" s="1"/>
  <c r="T7" i="15"/>
  <c r="U7" i="15" s="1"/>
  <c r="V7" i="15" s="1"/>
  <c r="T10" i="15"/>
  <c r="T22" i="15"/>
  <c r="U22" i="15" s="1"/>
  <c r="V22" i="15" s="1"/>
  <c r="T24" i="15"/>
  <c r="U24" i="15" s="1"/>
  <c r="V24" i="15" s="1"/>
  <c r="T9" i="15"/>
  <c r="U9" i="15" s="1"/>
  <c r="T16" i="15"/>
  <c r="U16" i="15" s="1"/>
  <c r="V16" i="15" s="1"/>
  <c r="T20" i="15"/>
  <c r="U20" i="15" s="1"/>
  <c r="V20" i="15" s="1"/>
  <c r="P25" i="15"/>
  <c r="T15" i="15"/>
  <c r="U15" i="15" s="1"/>
  <c r="V15" i="15" s="1"/>
  <c r="T17" i="15"/>
  <c r="U17" i="15" s="1"/>
  <c r="V17" i="15" s="1"/>
  <c r="T13" i="15"/>
  <c r="U13" i="15" s="1"/>
  <c r="V13" i="15" s="1"/>
  <c r="T21" i="15"/>
  <c r="U21" i="15" s="1"/>
  <c r="V21" i="15" s="1"/>
  <c r="T19" i="15"/>
  <c r="U19" i="15" s="1"/>
  <c r="V19" i="15" s="1"/>
  <c r="U8" i="15"/>
  <c r="V8" i="15" s="1"/>
  <c r="D78" i="6"/>
  <c r="U42" i="14"/>
  <c r="V42" i="14" s="1"/>
  <c r="U33" i="14"/>
  <c r="V33" i="14" s="1"/>
  <c r="U31" i="14"/>
  <c r="V31" i="14" s="1"/>
  <c r="U11" i="14"/>
  <c r="V11" i="14" s="1"/>
  <c r="U51" i="14"/>
  <c r="V51" i="14" s="1"/>
  <c r="U36" i="14"/>
  <c r="V36" i="14" s="1"/>
  <c r="U27" i="14"/>
  <c r="V27" i="14" s="1"/>
  <c r="U25" i="14"/>
  <c r="V25" i="14" s="1"/>
  <c r="U14" i="14"/>
  <c r="V14" i="14" s="1"/>
  <c r="U18" i="14"/>
  <c r="V18" i="14" s="1"/>
  <c r="U32" i="14"/>
  <c r="V32" i="14" s="1"/>
  <c r="U40" i="14"/>
  <c r="V40" i="14" s="1"/>
  <c r="U38" i="14"/>
  <c r="V38" i="14" s="1"/>
  <c r="U29" i="14"/>
  <c r="V29" i="14" s="1"/>
  <c r="U10" i="14"/>
  <c r="V10" i="14" s="1"/>
  <c r="U22" i="14"/>
  <c r="V22" i="14" s="1"/>
  <c r="U41" i="14"/>
  <c r="V41" i="14" s="1"/>
  <c r="U19" i="14"/>
  <c r="V19" i="14" s="1"/>
  <c r="U23" i="14"/>
  <c r="V23" i="14" s="1"/>
  <c r="U39" i="14"/>
  <c r="V39" i="14" s="1"/>
  <c r="U20" i="14"/>
  <c r="V20" i="14" s="1"/>
  <c r="U47" i="14"/>
  <c r="V47" i="14" s="1"/>
  <c r="U28" i="14"/>
  <c r="V28" i="14" s="1"/>
  <c r="U48" i="14"/>
  <c r="V48" i="14" s="1"/>
  <c r="U17" i="14"/>
  <c r="V17" i="14" s="1"/>
  <c r="U46" i="14"/>
  <c r="V46" i="14" s="1"/>
  <c r="U24" i="14"/>
  <c r="V24" i="14" s="1"/>
  <c r="U49" i="14"/>
  <c r="V49" i="14" s="1"/>
  <c r="U13" i="14"/>
  <c r="V13" i="14" s="1"/>
  <c r="U37" i="14"/>
  <c r="V37" i="14" s="1"/>
  <c r="U30" i="14"/>
  <c r="V30" i="14" s="1"/>
  <c r="U16" i="14"/>
  <c r="V16" i="14" s="1"/>
  <c r="U43" i="14"/>
  <c r="V43" i="14" s="1"/>
  <c r="U45" i="14"/>
  <c r="V45" i="14" s="1"/>
  <c r="U8" i="14"/>
  <c r="V8" i="14" s="1"/>
  <c r="U50" i="14"/>
  <c r="V50" i="14" s="1"/>
  <c r="U9" i="14"/>
  <c r="V9" i="14" s="1"/>
  <c r="U44" i="14"/>
  <c r="V44" i="14" s="1"/>
  <c r="U21" i="14"/>
  <c r="V21" i="14" s="1"/>
  <c r="U35" i="14"/>
  <c r="V35" i="14" s="1"/>
  <c r="U7" i="14"/>
  <c r="V7" i="14" s="1"/>
  <c r="U15" i="14"/>
  <c r="V15" i="14" s="1"/>
  <c r="U12" i="14"/>
  <c r="V12" i="14" s="1"/>
  <c r="U26" i="14"/>
  <c r="V26" i="14" s="1"/>
  <c r="U34" i="14"/>
  <c r="V34" i="14" s="1"/>
  <c r="E77" i="6"/>
  <c r="E78" i="6" s="1"/>
  <c r="M77" i="6"/>
  <c r="M78" i="6" s="1"/>
  <c r="F77" i="6"/>
  <c r="F78" i="6" s="1"/>
  <c r="N77" i="6"/>
  <c r="N78" i="6" s="1"/>
  <c r="G77" i="6"/>
  <c r="G78" i="6" s="1"/>
  <c r="O77" i="6"/>
  <c r="O78" i="6" s="1"/>
  <c r="K77" i="6"/>
  <c r="K78" i="6" s="1"/>
  <c r="H77" i="6"/>
  <c r="H78" i="6" s="1"/>
  <c r="I77" i="6"/>
  <c r="I78" i="6" s="1"/>
  <c r="J77" i="6"/>
  <c r="J78" i="6" s="1"/>
  <c r="L77" i="6"/>
  <c r="L78" i="6" s="1"/>
  <c r="M39" i="6"/>
  <c r="N39" i="6" s="1"/>
  <c r="K29" i="6"/>
  <c r="K31" i="6"/>
  <c r="K30" i="6"/>
  <c r="C3" i="6"/>
  <c r="N16" i="6"/>
  <c r="V9" i="15" l="1"/>
  <c r="V12" i="15"/>
  <c r="V14" i="15"/>
  <c r="U10" i="15"/>
  <c r="V10" i="15" s="1"/>
  <c r="D107" i="6"/>
  <c r="P106" i="6"/>
  <c r="P77" i="6"/>
  <c r="Q77" i="6" s="1"/>
  <c r="C65" i="6"/>
  <c r="C63" i="6"/>
  <c r="C66" i="6"/>
  <c r="C67" i="6"/>
  <c r="C68" i="6"/>
  <c r="C69" i="6"/>
  <c r="C64" i="6"/>
  <c r="C72" i="6"/>
  <c r="C70" i="6"/>
  <c r="C71" i="6"/>
  <c r="L31" i="6"/>
  <c r="M31" i="6"/>
  <c r="N31" i="6" s="1"/>
  <c r="L30" i="6"/>
  <c r="M30" i="6"/>
  <c r="N30" i="6" s="1"/>
  <c r="L29" i="6"/>
  <c r="M29" i="6"/>
  <c r="D19" i="6"/>
  <c r="N19" i="6" s="1"/>
  <c r="C91" i="6" l="1"/>
  <c r="E91" i="6" s="1"/>
  <c r="F91" i="6" s="1"/>
  <c r="C96" i="6"/>
  <c r="E96" i="6" s="1"/>
  <c r="F96" i="6" s="1"/>
  <c r="C89" i="6"/>
  <c r="D89" i="6" s="1"/>
  <c r="C88" i="6"/>
  <c r="E88" i="6" s="1"/>
  <c r="F88" i="6" s="1"/>
  <c r="C92" i="6"/>
  <c r="D92" i="6" s="1"/>
  <c r="C95" i="6"/>
  <c r="E95" i="6" s="1"/>
  <c r="F95" i="6" s="1"/>
  <c r="C90" i="6"/>
  <c r="D90" i="6" s="1"/>
  <c r="C94" i="6"/>
  <c r="D94" i="6" s="1"/>
  <c r="C87" i="6"/>
  <c r="E87" i="6" s="1"/>
  <c r="F87" i="6" s="1"/>
  <c r="C93" i="6"/>
  <c r="D93" i="6" s="1"/>
  <c r="N29" i="6"/>
  <c r="E72" i="6"/>
  <c r="F72" i="6" s="1"/>
  <c r="D72" i="6"/>
  <c r="E69" i="6"/>
  <c r="F69" i="6" s="1"/>
  <c r="D69" i="6"/>
  <c r="E64" i="6"/>
  <c r="F64" i="6" s="1"/>
  <c r="D64" i="6"/>
  <c r="D68" i="6"/>
  <c r="E68" i="6"/>
  <c r="F68" i="6" s="1"/>
  <c r="D67" i="6"/>
  <c r="E67" i="6"/>
  <c r="F67" i="6" s="1"/>
  <c r="D66" i="6"/>
  <c r="E66" i="6"/>
  <c r="F66" i="6" s="1"/>
  <c r="E71" i="6"/>
  <c r="F71" i="6" s="1"/>
  <c r="D71" i="6"/>
  <c r="E63" i="6"/>
  <c r="F63" i="6" s="1"/>
  <c r="D63" i="6"/>
  <c r="E70" i="6"/>
  <c r="F70" i="6" s="1"/>
  <c r="D70" i="6"/>
  <c r="E65" i="6"/>
  <c r="F65" i="6" s="1"/>
  <c r="D65" i="6"/>
  <c r="M32" i="6"/>
  <c r="N32" i="6" s="1"/>
  <c r="C23" i="6" a="1"/>
  <c r="C23" i="6" s="1"/>
  <c r="D23" i="6" s="1"/>
  <c r="C24" i="6" a="1"/>
  <c r="C24" i="6" s="1"/>
  <c r="D24" i="6" s="1"/>
  <c r="K20" i="6"/>
  <c r="O20" i="6" s="1"/>
  <c r="C4" i="6"/>
  <c r="E17" i="6" s="1"/>
  <c r="E18" i="6" l="1"/>
  <c r="D18" i="6"/>
  <c r="F17" i="6"/>
  <c r="D88" i="6"/>
  <c r="E89" i="6"/>
  <c r="F89" i="6" s="1"/>
  <c r="E92" i="6"/>
  <c r="F92" i="6" s="1"/>
  <c r="D95" i="6"/>
  <c r="D96" i="6"/>
  <c r="E90" i="6"/>
  <c r="F90" i="6" s="1"/>
  <c r="D91" i="6"/>
  <c r="E94" i="6"/>
  <c r="F94" i="6" s="1"/>
  <c r="D87" i="6"/>
  <c r="E93" i="6"/>
  <c r="F93" i="6" s="1"/>
  <c r="S17" i="6"/>
  <c r="K19" i="6"/>
  <c r="O19" i="6" s="1"/>
  <c r="P101" i="6" l="1"/>
  <c r="Q101" i="6" s="1"/>
</calcChain>
</file>

<file path=xl/sharedStrings.xml><?xml version="1.0" encoding="utf-8"?>
<sst xmlns="http://schemas.openxmlformats.org/spreadsheetml/2006/main" count="373" uniqueCount="149">
  <si>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</si>
  <si>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</si>
  <si>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</si>
  <si>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</si>
  <si>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</si>
  <si>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</si>
  <si>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</si>
  <si>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</si>
  <si>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</si>
  <si>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</si>
  <si>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</si>
  <si>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</si>
  <si>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</si>
  <si>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RECEITAS</t>
  </si>
  <si>
    <t>SALÁRIO</t>
  </si>
  <si>
    <t>13º SALÁRIO</t>
  </si>
  <si>
    <t>ALUGUEL</t>
  </si>
  <si>
    <t>CONDOMÍNIO</t>
  </si>
  <si>
    <t>ESCOLA</t>
  </si>
  <si>
    <t>FACULDADE</t>
  </si>
  <si>
    <t>CURSOS</t>
  </si>
  <si>
    <t>EMPREGADA DOMÉSTICA</t>
  </si>
  <si>
    <t>FINANCIAMENTO CARRO</t>
  </si>
  <si>
    <t>REVISÃO CARRO</t>
  </si>
  <si>
    <t>OFICINA CARRO</t>
  </si>
  <si>
    <t>PLANO DE SAÚDE</t>
  </si>
  <si>
    <t>IPTU</t>
  </si>
  <si>
    <t>IPVA</t>
  </si>
  <si>
    <t>CATEGORIA</t>
  </si>
  <si>
    <t>MORADIA</t>
  </si>
  <si>
    <t>TRANSPORTE</t>
  </si>
  <si>
    <t>ESTACIONAMENTO</t>
  </si>
  <si>
    <t>UBER / 99 TAXIS / ETC</t>
  </si>
  <si>
    <t>COMBUSTÍVEL</t>
  </si>
  <si>
    <t>SAÚDE</t>
  </si>
  <si>
    <t>LUZ</t>
  </si>
  <si>
    <t>ÁGUA</t>
  </si>
  <si>
    <t>MENSALIDADE TV PAGA</t>
  </si>
  <si>
    <t>CELULAR</t>
  </si>
  <si>
    <t>EDUCAÇÃO</t>
  </si>
  <si>
    <t>IMPOSTOS</t>
  </si>
  <si>
    <t>INTERNET</t>
  </si>
  <si>
    <t>ALIMENTAÇÃO</t>
  </si>
  <si>
    <t>SUPERMERCADO</t>
  </si>
  <si>
    <t>PADARIA</t>
  </si>
  <si>
    <t>CABELEIREIRO</t>
  </si>
  <si>
    <t>ACADEMIA</t>
  </si>
  <si>
    <t>MÉDICO</t>
  </si>
  <si>
    <t>MANUTENÇÃO CASA</t>
  </si>
  <si>
    <t>MATERIAL ESCOLAR</t>
  </si>
  <si>
    <t>VIAGENS</t>
  </si>
  <si>
    <t>CINEMA / TEATRO</t>
  </si>
  <si>
    <t>RESTAURANTES</t>
  </si>
  <si>
    <t>LAZER</t>
  </si>
  <si>
    <t>OUTROS</t>
  </si>
  <si>
    <t>TOTAL</t>
  </si>
  <si>
    <t>SALDO</t>
  </si>
  <si>
    <t>MÊS ATUAL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</si>
  <si>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</si>
  <si>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</si>
  <si>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</si>
  <si>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</si>
  <si>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</si>
  <si>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</si>
  <si>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</si>
  <si>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</si>
  <si>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</si>
  <si>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</si>
  <si>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</si>
  <si>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</si>
  <si>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QUANTO FALTA PARA A META</t>
  </si>
  <si>
    <t>META</t>
  </si>
  <si>
    <t>SALDO MÊS ATUAL</t>
  </si>
  <si>
    <t>Melhor Mês</t>
  </si>
  <si>
    <t>Pior Mês</t>
  </si>
  <si>
    <t>saldo</t>
  </si>
  <si>
    <t>LISTBOX</t>
  </si>
  <si>
    <t>ESCOLHA LISTBOX</t>
  </si>
  <si>
    <t>INVESTIMENTOS</t>
  </si>
  <si>
    <t>RENDA EXTRA</t>
  </si>
  <si>
    <t>IMÓVEIS</t>
  </si>
  <si>
    <t>receita</t>
  </si>
  <si>
    <t>despesa</t>
  </si>
  <si>
    <t>RECEITA</t>
  </si>
  <si>
    <t>DESPESA</t>
  </si>
  <si>
    <t>MÊS COMPARAÇÃO</t>
  </si>
  <si>
    <t xml:space="preserve">SALDO </t>
  </si>
  <si>
    <t>COMPARAÇÃO</t>
  </si>
  <si>
    <t>Ü</t>
  </si>
  <si>
    <t>Û</t>
  </si>
  <si>
    <t>ANO ATUAL</t>
  </si>
  <si>
    <t>GRÁFICO</t>
  </si>
  <si>
    <t>MÊS ANTERIOR (AUTOMÁTICO)</t>
  </si>
  <si>
    <t>DASHBOARD</t>
  </si>
  <si>
    <t>TEXTO GRÁFICO</t>
  </si>
  <si>
    <t>CADASTROS</t>
  </si>
  <si>
    <t>MESES QUE BATERAM META</t>
  </si>
  <si>
    <t>ANALISE MENSAL</t>
  </si>
  <si>
    <t xml:space="preserve"> </t>
  </si>
  <si>
    <t>ranking</t>
  </si>
  <si>
    <t>ordem</t>
  </si>
  <si>
    <t>top3</t>
  </si>
  <si>
    <t>FREQ</t>
  </si>
  <si>
    <t>DEMAIS</t>
  </si>
  <si>
    <t>SIM</t>
  </si>
  <si>
    <t>NÃO</t>
  </si>
  <si>
    <t>ANALISE DESPESA</t>
  </si>
  <si>
    <t>SEQ</t>
  </si>
  <si>
    <t>ORDEM</t>
  </si>
  <si>
    <t>GASTOS</t>
  </si>
  <si>
    <t>VALOR ORDEM</t>
  </si>
  <si>
    <t>NOME</t>
  </si>
  <si>
    <t>VALOR</t>
  </si>
  <si>
    <t>CATEGORIA ANÁLISE GRÁFICO</t>
  </si>
  <si>
    <t>ESCOLHA LISTBOX:</t>
  </si>
  <si>
    <t>DESPESA ANÁLISE GRÁFICO</t>
  </si>
  <si>
    <t>ANALISE RECEITA</t>
  </si>
  <si>
    <t xml:space="preserve">PREENCHA COM SEUS VALORES, RESPEITANDO CADA TIPO DE RECEITA E O MÊS EM QUE OCORREU. PARA FACILITAR A ANÁLISE POSTERIOR, CRIAMOS ALGUMAS CATEGORIAS QUE VOCÊ MESMO PODE ESCOLHER. </t>
  </si>
  <si>
    <t>FÉRIAS</t>
  </si>
  <si>
    <t>BÔNUS</t>
  </si>
  <si>
    <t>PENSÃO</t>
  </si>
  <si>
    <t>BENEFÍCIO DE PREVIDÊNCIA</t>
  </si>
  <si>
    <t>DIVIDENDOS</t>
  </si>
  <si>
    <t>VALE ALIMENTAÇÃO</t>
  </si>
  <si>
    <t>VALE REFEIÇÃO</t>
  </si>
  <si>
    <t>FINANCIAMENTO IMÓVEL</t>
  </si>
  <si>
    <t>TRANSPORTE PÚBLICO</t>
  </si>
  <si>
    <t>FARMÁCIA</t>
  </si>
  <si>
    <t>VESTUÁRIO</t>
  </si>
  <si>
    <t>SHOWS / FESTAS</t>
  </si>
  <si>
    <t>PRESENTES</t>
  </si>
  <si>
    <t>CDB</t>
  </si>
  <si>
    <t>LCI/LCA</t>
  </si>
  <si>
    <t>AÇÕES</t>
  </si>
  <si>
    <t>EXTERIOR</t>
  </si>
  <si>
    <t>FUNDOS DE INVESTIMENTO</t>
  </si>
  <si>
    <t>FUNDOS IMOBILIÁRIOS</t>
  </si>
  <si>
    <t>PREVIDÊNCIA PRIVADA</t>
  </si>
  <si>
    <t>CRIPTOMOEDAS</t>
  </si>
  <si>
    <t>TESOURO DIRETO</t>
  </si>
  <si>
    <t>POUPANÇA</t>
  </si>
  <si>
    <t>RENDA VARIÁVEL</t>
  </si>
  <si>
    <t>RENDA FIXA</t>
  </si>
  <si>
    <t>PREVIDÊNCIA</t>
  </si>
  <si>
    <t>INVESTIMENTO MÊS ATUAL</t>
  </si>
  <si>
    <t>investimentos</t>
  </si>
  <si>
    <t>APÓS FINALIZAR SUAS RECEITAS, FAÇA O MESMO PARA AS SUAS DESPESAS E INVESTIMENTOS.</t>
  </si>
  <si>
    <r>
      <t xml:space="preserve">APÓS FINALIZAR OS LANÇAMENTOS, VOCÊ JÁ PODE VERIFICAR OS PAINÉIS QUE SÃO AUTOMÁTICOS E QUE IRÃO FACILITAR SUAS ANÁLISES. NESSES PAINÉIS, VOCÊ SÓ PRECISA SELECIONAR CATEGORIAS OU MESES NOS FILTROS. </t>
    </r>
    <r>
      <rPr>
        <b/>
        <u/>
        <sz val="11"/>
        <color theme="1" tint="0.499984740745262"/>
        <rFont val="Ubuntu"/>
        <family val="2"/>
      </rPr>
      <t>NÃO É NECESSÁRIO INCLUIR NENHUMA INFORMAÇÃO NESSES PAINÉIS</t>
    </r>
    <r>
      <rPr>
        <b/>
        <sz val="11"/>
        <color theme="1" tint="0.499984740745262"/>
        <rFont val="Ubuntu"/>
        <family val="2"/>
      </rPr>
      <t>.</t>
    </r>
  </si>
  <si>
    <t xml:space="preserve">UTILIZAR ESSA PLANILHA É BEM SIMPLES: VOCÊ DEVERÁ PREENCHER SEUS GANHOS (ENTENDA COMO RECEITA) E SEUS GASTOS (ENTENDA COMO DESPESA). VAMOS COMEÇAR COM SUA RECEITA, CLICANDO NO MENU "INSERIR RECEITA".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</si>
</sst>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.0%"/>
    <numFmt numFmtId="166" formatCode="_(&quot;R$&quot;* #,##0.0_);_(&quot;R$&quot;* \(#,##0.0\);_(&quot;R$&quot;* &quot;-&quot;??_);_(@_)"/>
    <numFmt numFmtId="167" formatCode="_(&quot;R$&quot;* #,##0_);_(&quot;R$&quot;* \(#,##0\);_(&quot;R$&quot;* &quot;-&quot;??_);_(@_)"/>
    <numFmt numFmtId="168" formatCode="&quot;R$&quot;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sz val="14"/>
      <color theme="1"/>
      <name val="Calibri"/>
      <family val="2"/>
      <scheme val="minor"/>
    </font>
    <font>
      <sz val="8"/>
      <color rgb="FF41C77E"/>
      <name val="Calibri"/>
      <family val="2"/>
      <scheme val="minor"/>
    </font>
    <font>
      <sz val="8"/>
      <color rgb="FF41C77E"/>
      <name val="Wingdings 3"/>
      <family val="1"/>
      <charset val="2"/>
    </font>
    <font>
      <sz val="8"/>
      <color theme="1"/>
      <name val="Wingdings 3"/>
      <family val="1"/>
      <charset val="2"/>
    </font>
    <font>
      <sz val="8"/>
      <color rgb="FFFF0000"/>
      <name val="Calibri"/>
      <family val="2"/>
      <scheme val="minor"/>
    </font>
    <font>
      <sz val="8"/>
      <color rgb="FFFF0000"/>
      <name val="Wingdings 3"/>
      <family val="1"/>
      <charset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11"/>
      <color theme="1" tint="0.499984740745262"/>
      <name val="Ubuntu"/>
      <family val="2"/>
    </font>
    <font>
      <b/>
      <u/>
      <sz val="11"/>
      <color theme="1" tint="0.499984740745262"/>
      <name val="Ubuntu"/>
      <family val="2"/>
    </font>
    <font>
      <b/>
      <sz val="11"/>
      <color theme="1" tint="0.34998626667073579"/>
      <name val="Ubuntu"/>
      <family val="2"/>
    </font>
    <font>
      <sz val="11"/>
      <color theme="1"/>
      <name val="Ubuntu"/>
      <family val="2"/>
    </font>
    <font>
      <sz val="8"/>
      <color rgb="FFFF0000"/>
      <name val="Ubuntu"/>
      <family val="2"/>
    </font>
    <font>
      <sz val="8"/>
      <color theme="0" tint="-0.14999847407452621"/>
      <name val="Ubuntu"/>
      <family val="2"/>
    </font>
    <font>
      <sz val="11"/>
      <color theme="0" tint="-0.14999847407452621"/>
      <name val="Ubuntu"/>
      <family val="2"/>
    </font>
    <font>
      <b/>
      <sz val="11"/>
      <color theme="1"/>
      <name val="Ubuntu"/>
      <family val="2"/>
    </font>
    <font>
      <b/>
      <sz val="16"/>
      <color rgb="FF00B050"/>
      <name val="Ubuntu"/>
      <family val="2"/>
    </font>
    <font>
      <b/>
      <sz val="12"/>
      <color theme="0"/>
      <name val="Ubuntu"/>
      <family val="2"/>
    </font>
    <font>
      <b/>
      <sz val="10"/>
      <color theme="2" tint="-0.749992370372631"/>
      <name val="Ubuntu"/>
      <family val="2"/>
    </font>
    <font>
      <sz val="10"/>
      <color theme="2" tint="-0.749992370372631"/>
      <name val="Ubuntu"/>
      <family val="2"/>
    </font>
    <font>
      <b/>
      <sz val="10"/>
      <color theme="0"/>
      <name val="Ubuntu"/>
      <family val="2"/>
    </font>
    <font>
      <b/>
      <sz val="16"/>
      <color rgb="FFFF6350"/>
      <name val="Ubuntu"/>
      <family val="2"/>
    </font>
    <font>
      <b/>
      <sz val="16"/>
      <color theme="4" tint="-0.249977111117893"/>
      <name val="Ubuntu"/>
      <family val="2"/>
    </font>
    <font>
      <b/>
      <sz val="9"/>
      <color theme="1"/>
      <name val="Ubuntu"/>
      <family val="2"/>
    </font>
    <font>
      <sz val="10"/>
      <color theme="1"/>
      <name val="Ubuntu"/>
      <family val="2"/>
    </font>
    <font>
      <sz val="8"/>
      <color theme="0" tint="-4.9989318521683403E-2"/>
      <name val="Ubuntu"/>
      <family val="2"/>
    </font>
    <font>
      <sz val="8"/>
      <color theme="0" tint="-4.9989318521683403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BA9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n">
        <color theme="3"/>
      </top>
      <bottom/>
      <diagonal/>
    </border>
    <border>
      <left style="thick">
        <color theme="0" tint="-0.14996795556505021"/>
      </left>
      <right style="thick">
        <color theme="0" tint="-0.149967955565050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 tint="-0.14996795556505021"/>
      </right>
      <top style="thin">
        <color rgb="FFFF7575"/>
      </top>
      <bottom/>
      <diagonal/>
    </border>
    <border>
      <left style="thick">
        <color theme="0" tint="-0.14996795556505021"/>
      </left>
      <right style="thick">
        <color theme="0" tint="-0.14996795556505021"/>
      </right>
      <top style="thin">
        <color rgb="FFFF7575"/>
      </top>
      <bottom/>
      <diagonal/>
    </border>
    <border>
      <left style="thick">
        <color theme="0" tint="-0.14996795556505021"/>
      </left>
      <right style="thick">
        <color theme="0"/>
      </right>
      <top style="thin">
        <color rgb="FFFF7575"/>
      </top>
      <bottom/>
      <diagonal/>
    </border>
    <border>
      <left style="thick">
        <color theme="0"/>
      </left>
      <right style="thick">
        <color theme="0"/>
      </right>
      <top style="thin">
        <color rgb="FFFF7575"/>
      </top>
      <bottom/>
      <diagonal/>
    </border>
    <border>
      <left/>
      <right style="thick">
        <color theme="0"/>
      </right>
      <top style="thin">
        <color rgb="FF41C77E"/>
      </top>
      <bottom/>
      <diagonal/>
    </border>
    <border>
      <left/>
      <right style="thick">
        <color theme="0" tint="-0.14996795556505021"/>
      </right>
      <top style="thin">
        <color rgb="FF41C77E"/>
      </top>
      <bottom/>
      <diagonal/>
    </border>
    <border>
      <left style="thick">
        <color theme="0"/>
      </left>
      <right style="thick">
        <color theme="0"/>
      </right>
      <top style="thin">
        <color rgb="FF41C77E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 tint="-0.249977111117893"/>
      </left>
      <right style="dotted">
        <color theme="0" tint="-4.9989318521683403E-2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77111117893"/>
      </left>
      <right style="dotted">
        <color theme="0" tint="-4.9989318521683403E-2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dotted">
        <color theme="0" tint="-4.9989318521683403E-2"/>
      </right>
      <top style="dotted">
        <color theme="0" tint="-0.34998626667073579"/>
      </top>
      <bottom style="thin">
        <color theme="0" tint="-0.249977111117893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164" fontId="7" fillId="4" borderId="2" xfId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4" fillId="3" borderId="3" xfId="1" applyFont="1" applyFill="1" applyBorder="1" applyAlignment="1" applyProtection="1">
      <alignment horizontal="center" vertical="center"/>
      <protection locked="0"/>
    </xf>
    <xf numFmtId="164" fontId="2" fillId="3" borderId="2" xfId="1" applyFont="1" applyFill="1" applyBorder="1" applyAlignment="1" applyProtection="1">
      <alignment horizontal="center" vertical="center"/>
      <protection locked="0"/>
    </xf>
    <xf numFmtId="164" fontId="7" fillId="4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5" xfId="0" applyBorder="1"/>
    <xf numFmtId="164" fontId="5" fillId="0" borderId="5" xfId="0" applyNumberFormat="1" applyFont="1" applyBorder="1"/>
    <xf numFmtId="0" fontId="5" fillId="0" borderId="7" xfId="0" applyFont="1" applyBorder="1"/>
    <xf numFmtId="0" fontId="0" fillId="0" borderId="10" xfId="0" applyBorder="1"/>
    <xf numFmtId="0" fontId="5" fillId="2" borderId="0" xfId="0" applyFont="1" applyFill="1"/>
    <xf numFmtId="44" fontId="5" fillId="0" borderId="0" xfId="0" applyNumberFormat="1" applyFont="1"/>
    <xf numFmtId="0" fontId="10" fillId="0" borderId="0" xfId="0" applyFont="1"/>
    <xf numFmtId="0" fontId="5" fillId="0" borderId="10" xfId="0" applyFont="1" applyBorder="1"/>
    <xf numFmtId="0" fontId="0" fillId="0" borderId="4" xfId="0" applyBorder="1"/>
    <xf numFmtId="0" fontId="5" fillId="0" borderId="5" xfId="0" applyFont="1" applyBorder="1"/>
    <xf numFmtId="0" fontId="0" fillId="0" borderId="7" xfId="0" applyBorder="1"/>
    <xf numFmtId="0" fontId="0" fillId="0" borderId="9" xfId="0" applyBorder="1"/>
    <xf numFmtId="0" fontId="5" fillId="6" borderId="0" xfId="0" applyFont="1" applyFill="1"/>
    <xf numFmtId="9" fontId="12" fillId="0" borderId="0" xfId="2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9" fontId="15" fillId="0" borderId="0" xfId="2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7" borderId="0" xfId="0" applyFont="1" applyFill="1"/>
    <xf numFmtId="0" fontId="0" fillId="7" borderId="0" xfId="0" applyFill="1"/>
    <xf numFmtId="164" fontId="5" fillId="7" borderId="0" xfId="0" applyNumberFormat="1" applyFont="1" applyFill="1"/>
    <xf numFmtId="9" fontId="5" fillId="7" borderId="0" xfId="2" applyFont="1" applyFill="1" applyBorder="1" applyAlignment="1">
      <alignment horizontal="center"/>
    </xf>
    <xf numFmtId="9" fontId="5" fillId="7" borderId="0" xfId="2" quotePrefix="1" applyFont="1" applyFill="1" applyBorder="1" applyAlignment="1">
      <alignment horizontal="left"/>
    </xf>
    <xf numFmtId="164" fontId="5" fillId="6" borderId="0" xfId="0" applyNumberFormat="1" applyFont="1" applyFill="1"/>
    <xf numFmtId="44" fontId="5" fillId="7" borderId="0" xfId="0" applyNumberFormat="1" applyFont="1" applyFill="1"/>
    <xf numFmtId="0" fontId="17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7" fillId="6" borderId="0" xfId="0" applyNumberFormat="1" applyFont="1" applyFill="1" applyAlignment="1">
      <alignment horizontal="center"/>
    </xf>
    <xf numFmtId="164" fontId="20" fillId="3" borderId="0" xfId="1" applyFont="1" applyFill="1" applyBorder="1" applyAlignment="1" applyProtection="1">
      <alignment horizontal="center" vertical="center"/>
      <protection locked="0"/>
    </xf>
    <xf numFmtId="0" fontId="5" fillId="5" borderId="0" xfId="0" applyFont="1" applyFill="1"/>
    <xf numFmtId="9" fontId="5" fillId="0" borderId="0" xfId="2" applyFont="1" applyFill="1" applyBorder="1" applyAlignment="1">
      <alignment horizontal="center"/>
    </xf>
    <xf numFmtId="9" fontId="15" fillId="0" borderId="0" xfId="2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5" fillId="0" borderId="0" xfId="1" applyFont="1"/>
    <xf numFmtId="0" fontId="21" fillId="0" borderId="0" xfId="0" applyFont="1"/>
    <xf numFmtId="9" fontId="5" fillId="0" borderId="0" xfId="2" applyFont="1"/>
    <xf numFmtId="0" fontId="5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6" fontId="5" fillId="0" borderId="0" xfId="0" applyNumberFormat="1" applyFont="1"/>
    <xf numFmtId="0" fontId="7" fillId="0" borderId="0" xfId="0" applyFont="1" applyAlignment="1">
      <alignment horizontal="center"/>
    </xf>
    <xf numFmtId="164" fontId="5" fillId="0" borderId="0" xfId="1" applyFont="1" applyBorder="1"/>
    <xf numFmtId="9" fontId="0" fillId="0" borderId="0" xfId="2" applyFont="1" applyBorder="1"/>
    <xf numFmtId="165" fontId="0" fillId="0" borderId="0" xfId="2" applyNumberFormat="1" applyFont="1" applyBorder="1"/>
    <xf numFmtId="9" fontId="5" fillId="0" borderId="0" xfId="2" applyFont="1" applyBorder="1" applyAlignment="1">
      <alignment horizontal="center"/>
    </xf>
    <xf numFmtId="0" fontId="0" fillId="0" borderId="0" xfId="0" applyAlignment="1">
      <alignment horizontal="left" indent="1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7" fontId="7" fillId="0" borderId="0" xfId="0" applyNumberFormat="1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0" fillId="4" borderId="0" xfId="0" applyFill="1"/>
    <xf numFmtId="164" fontId="0" fillId="4" borderId="0" xfId="1" applyFont="1" applyFill="1"/>
    <xf numFmtId="0" fontId="0" fillId="4" borderId="0" xfId="0" applyFill="1" applyAlignment="1">
      <alignment horizontal="center" vertical="center"/>
    </xf>
    <xf numFmtId="0" fontId="0" fillId="9" borderId="0" xfId="0" applyFill="1"/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2" fillId="4" borderId="0" xfId="0" applyFont="1" applyFill="1"/>
    <xf numFmtId="168" fontId="27" fillId="4" borderId="0" xfId="0" applyNumberFormat="1" applyFont="1" applyFill="1" applyAlignment="1">
      <alignment horizontal="center" vertical="center"/>
    </xf>
    <xf numFmtId="164" fontId="34" fillId="11" borderId="16" xfId="1" applyFont="1" applyFill="1" applyBorder="1" applyAlignment="1" applyProtection="1">
      <alignment horizontal="center" vertical="center"/>
    </xf>
    <xf numFmtId="0" fontId="28" fillId="4" borderId="0" xfId="0" applyFont="1" applyFill="1"/>
    <xf numFmtId="0" fontId="29" fillId="4" borderId="0" xfId="0" applyFont="1" applyFill="1"/>
    <xf numFmtId="164" fontId="30" fillId="4" borderId="0" xfId="1" applyFont="1" applyFill="1" applyProtection="1"/>
    <xf numFmtId="0" fontId="30" fillId="4" borderId="0" xfId="0" applyFont="1" applyFill="1"/>
    <xf numFmtId="0" fontId="31" fillId="4" borderId="0" xfId="0" applyFont="1" applyFill="1"/>
    <xf numFmtId="165" fontId="28" fillId="4" borderId="0" xfId="2" applyNumberFormat="1" applyFont="1" applyFill="1" applyProtection="1"/>
    <xf numFmtId="164" fontId="34" fillId="10" borderId="18" xfId="1" applyFont="1" applyFill="1" applyBorder="1" applyAlignment="1" applyProtection="1">
      <alignment horizontal="center" vertical="center" wrapText="1"/>
    </xf>
    <xf numFmtId="14" fontId="34" fillId="10" borderId="17" xfId="0" applyNumberFormat="1" applyFont="1" applyFill="1" applyBorder="1" applyAlignment="1">
      <alignment horizontal="left" vertical="center" indent="1"/>
    </xf>
    <xf numFmtId="14" fontId="34" fillId="10" borderId="24" xfId="0" applyNumberFormat="1" applyFont="1" applyFill="1" applyBorder="1" applyAlignment="1">
      <alignment horizontal="center" vertical="center"/>
    </xf>
    <xf numFmtId="164" fontId="37" fillId="10" borderId="25" xfId="1" applyFont="1" applyFill="1" applyBorder="1" applyAlignment="1" applyProtection="1">
      <alignment horizontal="center" vertical="center" wrapText="1"/>
    </xf>
    <xf numFmtId="14" fontId="33" fillId="4" borderId="0" xfId="0" applyNumberFormat="1" applyFont="1" applyFill="1" applyAlignment="1">
      <alignment horizontal="left" vertical="center" indent="1"/>
    </xf>
    <xf numFmtId="0" fontId="32" fillId="4" borderId="0" xfId="0" applyFont="1" applyFill="1"/>
    <xf numFmtId="0" fontId="23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left" vertical="center" indent="1"/>
    </xf>
    <xf numFmtId="0" fontId="9" fillId="4" borderId="0" xfId="0" applyFont="1" applyFill="1"/>
    <xf numFmtId="0" fontId="24" fillId="4" borderId="0" xfId="0" applyFont="1" applyFill="1" applyAlignment="1">
      <alignment horizontal="center" vertical="center"/>
    </xf>
    <xf numFmtId="164" fontId="34" fillId="12" borderId="13" xfId="1" applyFont="1" applyFill="1" applyBorder="1" applyAlignment="1" applyProtection="1">
      <alignment horizontal="center" vertical="center"/>
    </xf>
    <xf numFmtId="164" fontId="34" fillId="12" borderId="14" xfId="1" applyFont="1" applyFill="1" applyBorder="1" applyAlignment="1" applyProtection="1">
      <alignment horizontal="center" vertical="center"/>
    </xf>
    <xf numFmtId="164" fontId="34" fillId="13" borderId="15" xfId="1" applyFont="1" applyFill="1" applyBorder="1" applyAlignment="1" applyProtection="1">
      <alignment horizontal="center" vertical="center" wrapText="1"/>
    </xf>
    <xf numFmtId="14" fontId="34" fillId="13" borderId="12" xfId="0" applyNumberFormat="1" applyFont="1" applyFill="1" applyBorder="1" applyAlignment="1">
      <alignment horizontal="left" vertical="center" indent="1"/>
    </xf>
    <xf numFmtId="14" fontId="34" fillId="13" borderId="24" xfId="0" applyNumberFormat="1" applyFont="1" applyFill="1" applyBorder="1" applyAlignment="1">
      <alignment horizontal="center" vertical="center"/>
    </xf>
    <xf numFmtId="164" fontId="37" fillId="13" borderId="25" xfId="1" applyFont="1" applyFill="1" applyBorder="1" applyAlignment="1" applyProtection="1">
      <alignment horizontal="center" vertical="center" wrapText="1"/>
    </xf>
    <xf numFmtId="14" fontId="35" fillId="4" borderId="26" xfId="0" applyNumberFormat="1" applyFont="1" applyFill="1" applyBorder="1" applyAlignment="1" applyProtection="1">
      <alignment horizontal="left" vertical="center" indent="1"/>
      <protection locked="0"/>
    </xf>
    <xf numFmtId="14" fontId="36" fillId="2" borderId="20" xfId="0" applyNumberFormat="1" applyFont="1" applyFill="1" applyBorder="1" applyAlignment="1" applyProtection="1">
      <alignment horizontal="left" vertical="center" indent="1"/>
      <protection locked="0"/>
    </xf>
    <xf numFmtId="14" fontId="35" fillId="4" borderId="27" xfId="0" applyNumberFormat="1" applyFont="1" applyFill="1" applyBorder="1" applyAlignment="1" applyProtection="1">
      <alignment horizontal="left" vertical="center" indent="1"/>
      <protection locked="0"/>
    </xf>
    <xf numFmtId="164" fontId="36" fillId="4" borderId="1" xfId="1" applyFont="1" applyFill="1" applyBorder="1" applyAlignment="1" applyProtection="1">
      <alignment horizontal="center" vertical="center"/>
      <protection locked="0"/>
    </xf>
    <xf numFmtId="164" fontId="36" fillId="4" borderId="19" xfId="1" applyFont="1" applyFill="1" applyBorder="1" applyAlignment="1" applyProtection="1">
      <alignment horizontal="center" vertical="center"/>
      <protection locked="0"/>
    </xf>
    <xf numFmtId="164" fontId="36" fillId="4" borderId="21" xfId="1" applyFont="1" applyFill="1" applyBorder="1" applyAlignment="1" applyProtection="1">
      <alignment horizontal="center" vertical="center"/>
      <protection locked="0"/>
    </xf>
    <xf numFmtId="164" fontId="35" fillId="2" borderId="20" xfId="1" applyFont="1" applyFill="1" applyBorder="1" applyAlignment="1" applyProtection="1">
      <alignment horizontal="center" vertical="center"/>
    </xf>
    <xf numFmtId="14" fontId="35" fillId="4" borderId="28" xfId="0" applyNumberFormat="1" applyFont="1" applyFill="1" applyBorder="1" applyAlignment="1" applyProtection="1">
      <alignment horizontal="left" vertical="center" indent="1"/>
      <protection locked="0"/>
    </xf>
    <xf numFmtId="14" fontId="35" fillId="4" borderId="35" xfId="0" applyNumberFormat="1" applyFont="1" applyFill="1" applyBorder="1" applyAlignment="1" applyProtection="1">
      <alignment horizontal="left" vertical="center" indent="1"/>
      <protection locked="0"/>
    </xf>
    <xf numFmtId="14" fontId="36" fillId="2" borderId="32" xfId="0" applyNumberFormat="1" applyFont="1" applyFill="1" applyBorder="1" applyAlignment="1" applyProtection="1">
      <alignment horizontal="left" vertical="center" indent="1"/>
      <protection locked="0"/>
    </xf>
    <xf numFmtId="164" fontId="36" fillId="4" borderId="31" xfId="1" applyFont="1" applyFill="1" applyBorder="1" applyAlignment="1" applyProtection="1">
      <alignment horizontal="center" vertical="center"/>
      <protection locked="0"/>
    </xf>
    <xf numFmtId="164" fontId="36" fillId="4" borderId="22" xfId="1" applyFont="1" applyFill="1" applyBorder="1" applyAlignment="1" applyProtection="1">
      <alignment horizontal="center" vertical="center"/>
      <protection locked="0"/>
    </xf>
    <xf numFmtId="164" fontId="36" fillId="4" borderId="30" xfId="1" applyFont="1" applyFill="1" applyBorder="1" applyAlignment="1" applyProtection="1">
      <alignment horizontal="center" vertical="center"/>
      <protection locked="0"/>
    </xf>
    <xf numFmtId="164" fontId="35" fillId="2" borderId="29" xfId="1" applyFont="1" applyFill="1" applyBorder="1" applyAlignment="1" applyProtection="1">
      <alignment horizontal="center" vertical="center"/>
    </xf>
    <xf numFmtId="14" fontId="35" fillId="4" borderId="34" xfId="0" applyNumberFormat="1" applyFont="1" applyFill="1" applyBorder="1" applyAlignment="1" applyProtection="1">
      <alignment horizontal="left" vertical="center" indent="1"/>
      <protection locked="0"/>
    </xf>
    <xf numFmtId="14" fontId="35" fillId="4" borderId="33" xfId="0" applyNumberFormat="1" applyFont="1" applyFill="1" applyBorder="1" applyAlignment="1" applyProtection="1">
      <alignment horizontal="left" vertical="center" indent="1"/>
      <protection locked="0"/>
    </xf>
    <xf numFmtId="14" fontId="34" fillId="9" borderId="24" xfId="0" applyNumberFormat="1" applyFont="1" applyFill="1" applyBorder="1" applyAlignment="1">
      <alignment horizontal="center" vertical="center"/>
    </xf>
    <xf numFmtId="164" fontId="37" fillId="9" borderId="25" xfId="1" applyFont="1" applyFill="1" applyBorder="1" applyAlignment="1" applyProtection="1">
      <alignment horizontal="center" vertical="center" wrapText="1"/>
    </xf>
    <xf numFmtId="164" fontId="34" fillId="9" borderId="18" xfId="1" applyFont="1" applyFill="1" applyBorder="1" applyAlignment="1" applyProtection="1">
      <alignment horizontal="center" vertical="center" wrapText="1"/>
    </xf>
    <xf numFmtId="14" fontId="34" fillId="9" borderId="17" xfId="0" applyNumberFormat="1" applyFont="1" applyFill="1" applyBorder="1" applyAlignment="1">
      <alignment horizontal="left" vertical="center" indent="1"/>
    </xf>
    <xf numFmtId="164" fontId="34" fillId="14" borderId="16" xfId="1" applyFont="1" applyFill="1" applyBorder="1" applyAlignment="1" applyProtection="1">
      <alignment horizontal="center" vertical="center"/>
    </xf>
    <xf numFmtId="14" fontId="39" fillId="4" borderId="0" xfId="0" applyNumberFormat="1" applyFont="1" applyFill="1" applyAlignment="1">
      <alignment horizontal="left" vertical="center" indent="1"/>
    </xf>
    <xf numFmtId="164" fontId="37" fillId="11" borderId="23" xfId="1" applyFont="1" applyFill="1" applyBorder="1" applyAlignment="1" applyProtection="1">
      <alignment horizontal="center" vertical="center"/>
    </xf>
    <xf numFmtId="164" fontId="37" fillId="12" borderId="23" xfId="1" applyFont="1" applyFill="1" applyBorder="1" applyAlignment="1" applyProtection="1">
      <alignment horizontal="center" vertical="center"/>
    </xf>
    <xf numFmtId="164" fontId="37" fillId="14" borderId="23" xfId="1" applyFont="1" applyFill="1" applyBorder="1" applyAlignment="1" applyProtection="1">
      <alignment horizontal="center" vertical="center"/>
    </xf>
    <xf numFmtId="9" fontId="0" fillId="4" borderId="0" xfId="0" applyNumberFormat="1" applyFill="1"/>
    <xf numFmtId="165" fontId="0" fillId="4" borderId="0" xfId="2" applyNumberFormat="1" applyFont="1" applyFill="1"/>
    <xf numFmtId="0" fontId="28" fillId="0" borderId="0" xfId="0" applyFont="1"/>
    <xf numFmtId="0" fontId="40" fillId="8" borderId="0" xfId="0" applyFont="1" applyFill="1" applyAlignment="1">
      <alignment horizontal="center" vertical="center"/>
    </xf>
    <xf numFmtId="0" fontId="41" fillId="0" borderId="0" xfId="0" applyFont="1" applyAlignment="1">
      <alignment horizontal="left"/>
    </xf>
    <xf numFmtId="168" fontId="5" fillId="0" borderId="0" xfId="1" applyNumberFormat="1" applyFont="1"/>
    <xf numFmtId="164" fontId="7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8" xfId="0" applyFont="1" applyFill="1" applyBorder="1" applyAlignment="1">
      <alignment horizontal="center" vertical="center" textRotation="90"/>
    </xf>
    <xf numFmtId="0" fontId="19" fillId="2" borderId="11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0" xfId="0" applyFont="1" applyFill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  <xf numFmtId="0" fontId="42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rgb="FF91E4B4"/>
        </patternFill>
      </fill>
    </dxf>
    <dxf>
      <font>
        <b val="0"/>
        <i val="0"/>
        <color rgb="FF41C77E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41C77E"/>
      <color rgb="FFFF2F2F"/>
      <color rgb="FFFF482F"/>
      <color rgb="FFF8F8F8"/>
      <color rgb="FFFFFFFF"/>
      <color rgb="FF32AC69"/>
      <color rgb="FF91DFB4"/>
      <color rgb="FFFF8989"/>
      <color rgb="FFFE9666"/>
      <color rgb="FFFF6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53274597502738E-2"/>
          <c:y val="0.10629691884497718"/>
          <c:w val="0.90104978707520988"/>
          <c:h val="0.76429813647418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1C77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1C77E"/>
              </a:solidFill>
              <a:ln w="9525">
                <a:solidFill>
                  <a:srgbClr val="41C77E"/>
                </a:solidFill>
              </a:ln>
              <a:effectLst/>
            </c:spPr>
          </c:marker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RECEITAS!$D$25:$O$25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F8D-45CC-A774-0A06FDF607C5}"/>
            </c:ext>
          </c:extLst>
        </c:ser>
        <c:ser>
          <c:idx val="1"/>
          <c:order val="1"/>
          <c:spPr>
            <a:ln w="28575" cap="rnd">
              <a:solidFill>
                <a:srgbClr val="FF2F2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2F2F"/>
              </a:solidFill>
              <a:ln w="9525">
                <a:solidFill>
                  <a:srgbClr val="FF2F2F"/>
                </a:solidFill>
              </a:ln>
              <a:effectLst/>
            </c:spPr>
          </c:marker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DESPESAS!$D$52:$O$52</c:f>
              <c:numCache>
                <c:formatCode>_("R$"* #,##0.00_);_("R$"* \(#,##0.00\);_("R$"* "-"??_);_(@_)</c:formatCode>
                <c:ptCount val="12"/>
                <c:pt idx="0">
                  <c:v>2575</c:v>
                </c:pt>
                <c:pt idx="1">
                  <c:v>3125</c:v>
                </c:pt>
                <c:pt idx="2">
                  <c:v>2580</c:v>
                </c:pt>
                <c:pt idx="3">
                  <c:v>3010</c:v>
                </c:pt>
                <c:pt idx="4">
                  <c:v>2920</c:v>
                </c:pt>
                <c:pt idx="5">
                  <c:v>2965</c:v>
                </c:pt>
                <c:pt idx="6">
                  <c:v>2360</c:v>
                </c:pt>
                <c:pt idx="7">
                  <c:v>2504</c:v>
                </c:pt>
                <c:pt idx="8">
                  <c:v>2520</c:v>
                </c:pt>
                <c:pt idx="9">
                  <c:v>2424</c:v>
                </c:pt>
                <c:pt idx="10">
                  <c:v>2593</c:v>
                </c:pt>
                <c:pt idx="11">
                  <c:v>2269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F8D-45CC-A774-0A06FDF6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1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5B9BD5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>
                  <a:lumMod val="75000"/>
                </a:srgbClr>
              </a:solidFill>
              <a:ln w="9525">
                <a:solidFill>
                  <a:srgbClr val="5B9BD5">
                    <a:lumMod val="75000"/>
                  </a:srgbClr>
                </a:solidFill>
              </a:ln>
              <a:effectLst/>
            </c:spPr>
          </c:marker>
          <c:cat>
            <c:strRef>
              <c:f>INVESTIMENTOS!$D$6:$O$6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INVESTIMENTOS!$D$21:$O$21</c:f>
              <c:numCache>
                <c:formatCode>_("R$"* #,##0.00_);_("R$"* \(#,##0.00\);_("R$"*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350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400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0C-4045-8FFF-25AF2F2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265312"/>
        <c:axId val="1732271552"/>
      </c:lineChart>
      <c:catAx>
        <c:axId val="17322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32271552"/>
        <c:crosses val="autoZero"/>
        <c:auto val="1"/>
        <c:lblAlgn val="ctr"/>
        <c:lblOffset val="100"/>
        <c:noMultiLvlLbl val="0"/>
      </c:catAx>
      <c:valAx>
        <c:axId val="17322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3226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57150"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41C77E"/>
              </a:solidFill>
              <a:ln w="571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5-44E1-ABE1-19F0FD9099B0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571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5-44E1-ABE1-19F0FD9099B0}"/>
              </c:ext>
            </c:extLst>
          </c:dPt>
          <c:val>
            <c:numRef>
              <c:f>SUPORTE!$E$17:$E$18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5-44E1-ABE1-19F0FD90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723004694835687E-2"/>
          <c:y val="5.3097345132743362E-2"/>
          <c:w val="0.69248826291079812"/>
          <c:h val="0.870206489675516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2AC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C-440A-AC11-7527C75C03F2}"/>
              </c:ext>
            </c:extLst>
          </c:dPt>
          <c:dPt>
            <c:idx val="1"/>
            <c:bubble3D val="0"/>
            <c:spPr>
              <a:solidFill>
                <a:srgbClr val="41C7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C-440A-AC11-7527C75C03F2}"/>
              </c:ext>
            </c:extLst>
          </c:dPt>
          <c:dPt>
            <c:idx val="2"/>
            <c:bubble3D val="0"/>
            <c:spPr>
              <a:solidFill>
                <a:srgbClr val="91DF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C-440A-AC11-7527C75C03F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1D1-4C0A-9E14-D8FCD9E5CD1C}"/>
              </c:ext>
            </c:extLst>
          </c:dPt>
          <c:cat>
            <c:strRef>
              <c:f>SUPORTE!$L$29:$L$32</c:f>
              <c:strCache>
                <c:ptCount val="4"/>
                <c:pt idx="0">
                  <c:v>SALÁRIO</c:v>
                </c:pt>
                <c:pt idx="1">
                  <c:v>IMÓVEIS</c:v>
                </c:pt>
                <c:pt idx="2">
                  <c:v>RENDA EXTRA</c:v>
                </c:pt>
                <c:pt idx="3">
                  <c:v>DEMAIS</c:v>
                </c:pt>
              </c:strCache>
            </c:strRef>
          </c:cat>
          <c:val>
            <c:numRef>
              <c:f>SUPORTE!$M$29:$M$32</c:f>
              <c:numCache>
                <c:formatCode>"R$"\ #,##0.00</c:formatCode>
                <c:ptCount val="4"/>
                <c:pt idx="0">
                  <c:v>3450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EC-440A-AC11-7527C75C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482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1-4575-ABBF-E0534AC52537}"/>
              </c:ext>
            </c:extLst>
          </c:dPt>
          <c:dPt>
            <c:idx val="1"/>
            <c:bubble3D val="0"/>
            <c:spPr>
              <a:solidFill>
                <a:srgbClr val="FF6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A1-4575-ABBF-E0534AC52537}"/>
              </c:ext>
            </c:extLst>
          </c:dPt>
          <c:dPt>
            <c:idx val="2"/>
            <c:bubble3D val="0"/>
            <c:spPr>
              <a:solidFill>
                <a:srgbClr val="FF75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A1-4575-ABBF-E0534AC52537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1-4575-ABBF-E0534AC52537}"/>
              </c:ext>
            </c:extLst>
          </c:dPt>
          <c:cat>
            <c:strRef>
              <c:f>SUPORTE!$L$36:$L$39</c:f>
              <c:strCache>
                <c:ptCount val="4"/>
                <c:pt idx="0">
                  <c:v>MORADIA</c:v>
                </c:pt>
                <c:pt idx="1">
                  <c:v>TRANSPORTE</c:v>
                </c:pt>
                <c:pt idx="2">
                  <c:v>SAÚDE</c:v>
                </c:pt>
                <c:pt idx="3">
                  <c:v>DEMAIS</c:v>
                </c:pt>
              </c:strCache>
            </c:strRef>
          </c:cat>
          <c:val>
            <c:numRef>
              <c:f>SUPORTE!$M$36:$M$39</c:f>
              <c:numCache>
                <c:formatCode>"R$"\ #,##0.00</c:formatCode>
                <c:ptCount val="4"/>
                <c:pt idx="0">
                  <c:v>2165</c:v>
                </c:pt>
                <c:pt idx="1">
                  <c:v>339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A1-4575-ABBF-E0534AC5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1155414083877E-2"/>
          <c:y val="7.5053434039759045E-2"/>
          <c:w val="0.91697436756575645"/>
          <c:h val="0.788155424177067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1C77E"/>
              </a:solidFill>
              <a:round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41C77E"/>
              </a:solidFill>
              <a:ln w="15875">
                <a:solidFill>
                  <a:srgbClr val="41C77E"/>
                </a:solidFill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2AC69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RECEITAS!$D$6:$O$6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RECEITAS!$D$25:$O$25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4FB-4CA4-8FEB-04719C3BE4AB}"/>
            </c:ext>
          </c:extLst>
        </c:ser>
        <c:ser>
          <c:idx val="1"/>
          <c:order val="1"/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50196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RECEITAS!$D$6:$O$6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SUPORTE!$D$101:$O$101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94FB-4CA4-8FEB-04719C3B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32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41C77E"/>
                </a:gs>
                <a:gs pos="100000">
                  <a:srgbClr val="91DFB4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2AC69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SUPORTE!$D$106:$O$106</c:f>
              <c:numCache>
                <c:formatCode>_("R$"* #,##0.0_);_("R$"* \(#,##0.0\);_("R$"* "-"??_);_(@_)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3500</c:v>
                </c:pt>
                <c:pt idx="6">
                  <c:v>3000</c:v>
                </c:pt>
                <c:pt idx="7">
                  <c:v>3000</c:v>
                </c:pt>
                <c:pt idx="8">
                  <c:v>3200</c:v>
                </c:pt>
                <c:pt idx="9">
                  <c:v>3200</c:v>
                </c:pt>
                <c:pt idx="10">
                  <c:v>3200</c:v>
                </c:pt>
                <c:pt idx="11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10-4C0D-AE29-A53A4F90C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539983"/>
        <c:axId val="1721444111"/>
      </c:barChart>
      <c:catAx>
        <c:axId val="14415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21444111"/>
        <c:crosses val="autoZero"/>
        <c:auto val="1"/>
        <c:lblAlgn val="ctr"/>
        <c:lblOffset val="100"/>
        <c:noMultiLvlLbl val="0"/>
      </c:catAx>
      <c:valAx>
        <c:axId val="1721444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" sourceLinked="0"/>
        <c:majorTickMark val="none"/>
        <c:minorTickMark val="none"/>
        <c:tickLblPos val="nextTo"/>
        <c:crossAx val="14415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1155414083877E-2"/>
          <c:y val="9.817509315249924E-2"/>
          <c:w val="0.93416546844687898"/>
          <c:h val="0.71118228199003231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solidFill>
                <a:srgbClr val="F8F8F8">
                  <a:alpha val="4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SUPORTE!$D$77:$O$77</c:f>
              <c:numCache>
                <c:formatCode>_("R$"* #,##0.00_);_("R$"* \(#,##0.00\);_("R$"* "-"??_);_(@_)</c:formatCode>
                <c:ptCount val="12"/>
                <c:pt idx="0">
                  <c:v>2045</c:v>
                </c:pt>
                <c:pt idx="1">
                  <c:v>2595</c:v>
                </c:pt>
                <c:pt idx="2">
                  <c:v>2045</c:v>
                </c:pt>
                <c:pt idx="3">
                  <c:v>2045</c:v>
                </c:pt>
                <c:pt idx="4">
                  <c:v>2345</c:v>
                </c:pt>
                <c:pt idx="5">
                  <c:v>2645</c:v>
                </c:pt>
                <c:pt idx="6">
                  <c:v>2045</c:v>
                </c:pt>
                <c:pt idx="7">
                  <c:v>2165</c:v>
                </c:pt>
                <c:pt idx="8">
                  <c:v>2175</c:v>
                </c:pt>
                <c:pt idx="9">
                  <c:v>2085</c:v>
                </c:pt>
                <c:pt idx="10">
                  <c:v>1945</c:v>
                </c:pt>
                <c:pt idx="11">
                  <c:v>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78-4789-9778-0D7E71D63734}"/>
            </c:ext>
          </c:extLst>
        </c:ser>
        <c:ser>
          <c:idx val="0"/>
          <c:order val="1"/>
          <c:spPr>
            <a:ln w="28575" cap="rnd">
              <a:solidFill>
                <a:srgbClr val="FF2F2F"/>
              </a:solidFill>
              <a:round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FF2F2F"/>
              </a:solidFill>
              <a:ln w="15875">
                <a:solidFill>
                  <a:srgbClr val="FF2F2F"/>
                </a:solidFill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&quot;R$&quot;\ #,##0" sourceLinked="0"/>
            <c:spPr>
              <a:solidFill>
                <a:schemeClr val="bg1">
                  <a:alpha val="18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DESPESAS!$D$52:$O$52</c:f>
              <c:numCache>
                <c:formatCode>_("R$"* #,##0.00_);_("R$"* \(#,##0.00\);_("R$"* "-"??_);_(@_)</c:formatCode>
                <c:ptCount val="12"/>
                <c:pt idx="0">
                  <c:v>2575</c:v>
                </c:pt>
                <c:pt idx="1">
                  <c:v>3125</c:v>
                </c:pt>
                <c:pt idx="2">
                  <c:v>2580</c:v>
                </c:pt>
                <c:pt idx="3">
                  <c:v>3010</c:v>
                </c:pt>
                <c:pt idx="4">
                  <c:v>2920</c:v>
                </c:pt>
                <c:pt idx="5">
                  <c:v>2965</c:v>
                </c:pt>
                <c:pt idx="6">
                  <c:v>2360</c:v>
                </c:pt>
                <c:pt idx="7">
                  <c:v>2504</c:v>
                </c:pt>
                <c:pt idx="8">
                  <c:v>2520</c:v>
                </c:pt>
                <c:pt idx="9">
                  <c:v>2424</c:v>
                </c:pt>
                <c:pt idx="10">
                  <c:v>2593</c:v>
                </c:pt>
                <c:pt idx="11">
                  <c:v>2269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5B-451A-9A5A-995AADDE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32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2F2F"/>
                </a:gs>
                <a:gs pos="100000">
                  <a:srgbClr val="FE9666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2F2F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SUPORTE!$D$82:$O$82</c:f>
              <c:numCache>
                <c:formatCode>_("R$"* #,##0.0_);_("R$"* \(#,##0.0\);_("R$"* "-"??_);_(@_)</c:formatCode>
                <c:ptCount val="12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1300</c:v>
                </c:pt>
                <c:pt idx="4">
                  <c:v>1300</c:v>
                </c:pt>
                <c:pt idx="5">
                  <c:v>1300</c:v>
                </c:pt>
                <c:pt idx="6">
                  <c:v>1300</c:v>
                </c:pt>
                <c:pt idx="7">
                  <c:v>1300</c:v>
                </c:pt>
                <c:pt idx="8">
                  <c:v>1300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C-4287-A48C-B056A4E52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539983"/>
        <c:axId val="1721444111"/>
      </c:barChart>
      <c:catAx>
        <c:axId val="14415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21444111"/>
        <c:crosses val="autoZero"/>
        <c:auto val="1"/>
        <c:lblAlgn val="ctr"/>
        <c:lblOffset val="100"/>
        <c:noMultiLvlLbl val="0"/>
      </c:catAx>
      <c:valAx>
        <c:axId val="1721444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" sourceLinked="0"/>
        <c:majorTickMark val="none"/>
        <c:minorTickMark val="none"/>
        <c:tickLblPos val="nextTo"/>
        <c:crossAx val="14415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SUPORTE!$H$16" fmlaRange="MESES" noThreeD="1" sel="7" val="5"/>
</file>

<file path=xl/ctrlProps/ctrlProp2.xml><?xml version="1.0" encoding="utf-8"?>
<formControlPr xmlns="http://schemas.microsoft.com/office/spreadsheetml/2009/9/main" objectType="Drop" dropStyle="combo" dx="22" fmlaLink="SUPORTE!$C$27" fmlaRange="SUPORTE!$B$47:$B$58" noThreeD="1" sel="8" val="4"/>
</file>

<file path=xl/ctrlProps/ctrlProp3.xml><?xml version="1.0" encoding="utf-8"?>
<formControlPr xmlns="http://schemas.microsoft.com/office/spreadsheetml/2009/9/main" objectType="Drop" dropStyle="combo" dx="22" fmlaLink="SUPORTE!$C$99" fmlaRange="SUPORTE!$F$47:$F$51" noThreeD="1" sel="1" val="0"/>
</file>

<file path=xl/ctrlProps/ctrlProp4.xml><?xml version="1.0" encoding="utf-8"?>
<formControlPr xmlns="http://schemas.microsoft.com/office/spreadsheetml/2009/9/main" objectType="Drop" dropStyle="combo" dx="22" fmlaLink="SUPORTE!$C$106" fmlaRange="RECEITAS!$B$7:$B$24" noThreeD="1" sel="1" val="0"/>
</file>

<file path=xl/ctrlProps/ctrlProp5.xml><?xml version="1.0" encoding="utf-8"?>
<formControlPr xmlns="http://schemas.microsoft.com/office/spreadsheetml/2009/9/main" objectType="Drop" dropStyle="combo" dx="22" fmlaLink="SUPORTE!$C$75" fmlaRange="SUPORTE!$D$47:$D$54" noThreeD="1" sel="1" val="0"/>
</file>

<file path=xl/ctrlProps/ctrlProp6.xml><?xml version="1.0" encoding="utf-8"?>
<formControlPr xmlns="http://schemas.microsoft.com/office/spreadsheetml/2009/9/main" objectType="Drop" dropStyle="combo" dx="22" fmlaLink="SUPORTE!$C$82" fmlaRange="DESPESAS!$B$7:$B$51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ASHBOARD!A1"/><Relationship Id="rId13" Type="http://schemas.openxmlformats.org/officeDocument/2006/relationships/image" Target="../media/image9.png"/><Relationship Id="rId18" Type="http://schemas.openxmlformats.org/officeDocument/2006/relationships/image" Target="../media/image13.png"/><Relationship Id="rId3" Type="http://schemas.openxmlformats.org/officeDocument/2006/relationships/image" Target="../media/image3.png"/><Relationship Id="rId21" Type="http://schemas.openxmlformats.org/officeDocument/2006/relationships/image" Target="../media/image16.png"/><Relationship Id="rId7" Type="http://schemas.openxmlformats.org/officeDocument/2006/relationships/hyperlink" Target="#INVESTIMENTOS!A1"/><Relationship Id="rId12" Type="http://schemas.openxmlformats.org/officeDocument/2006/relationships/image" Target="../media/image8.svg"/><Relationship Id="rId17" Type="http://schemas.openxmlformats.org/officeDocument/2006/relationships/hyperlink" Target="#MODELO!A1"/><Relationship Id="rId25" Type="http://schemas.openxmlformats.org/officeDocument/2006/relationships/image" Target="../media/image20.png"/><Relationship Id="rId2" Type="http://schemas.openxmlformats.org/officeDocument/2006/relationships/image" Target="../media/image2.svg"/><Relationship Id="rId16" Type="http://schemas.openxmlformats.org/officeDocument/2006/relationships/image" Target="../media/image12.sv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hyperlink" Target="#DESPESAS!A1"/><Relationship Id="rId11" Type="http://schemas.openxmlformats.org/officeDocument/2006/relationships/image" Target="../media/image7.png"/><Relationship Id="rId24" Type="http://schemas.openxmlformats.org/officeDocument/2006/relationships/image" Target="../media/image19.svg"/><Relationship Id="rId5" Type="http://schemas.openxmlformats.org/officeDocument/2006/relationships/hyperlink" Target="#RECEITAS!A1"/><Relationship Id="rId15" Type="http://schemas.openxmlformats.org/officeDocument/2006/relationships/image" Target="../media/image11.png"/><Relationship Id="rId23" Type="http://schemas.openxmlformats.org/officeDocument/2006/relationships/image" Target="../media/image18.png"/><Relationship Id="rId10" Type="http://schemas.openxmlformats.org/officeDocument/2006/relationships/image" Target="../media/image6.svg"/><Relationship Id="rId19" Type="http://schemas.openxmlformats.org/officeDocument/2006/relationships/image" Target="../media/image14.svg"/><Relationship Id="rId4" Type="http://schemas.openxmlformats.org/officeDocument/2006/relationships/image" Target="../media/image4.svg"/><Relationship Id="rId9" Type="http://schemas.openxmlformats.org/officeDocument/2006/relationships/image" Target="../media/image5.png"/><Relationship Id="rId14" Type="http://schemas.openxmlformats.org/officeDocument/2006/relationships/image" Target="../media/image10.svg"/><Relationship Id="rId22" Type="http://schemas.openxmlformats.org/officeDocument/2006/relationships/image" Target="../media/image17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microsoft.com/office/2007/relationships/hdphoto" Target="../media/hdphoto1.wdp"/><Relationship Id="rId7" Type="http://schemas.openxmlformats.org/officeDocument/2006/relationships/image" Target="../media/image23.png"/><Relationship Id="rId2" Type="http://schemas.openxmlformats.org/officeDocument/2006/relationships/image" Target="../media/image21.png"/><Relationship Id="rId1" Type="http://schemas.openxmlformats.org/officeDocument/2006/relationships/hyperlink" Target="#INDEX!A1"/><Relationship Id="rId6" Type="http://schemas.openxmlformats.org/officeDocument/2006/relationships/image" Target="../media/image22.png"/><Relationship Id="rId5" Type="http://schemas.openxmlformats.org/officeDocument/2006/relationships/image" Target="../media/image20.png"/><Relationship Id="rId10" Type="http://schemas.openxmlformats.org/officeDocument/2006/relationships/image" Target="../media/image26.png"/><Relationship Id="rId4" Type="http://schemas.openxmlformats.org/officeDocument/2006/relationships/image" Target="../media/image15.png"/><Relationship Id="rId9" Type="http://schemas.openxmlformats.org/officeDocument/2006/relationships/image" Target="../media/image2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29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32.svg"/><Relationship Id="rId24" Type="http://schemas.openxmlformats.org/officeDocument/2006/relationships/image" Target="../media/image41.png"/><Relationship Id="rId5" Type="http://schemas.openxmlformats.org/officeDocument/2006/relationships/image" Target="../media/image28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31.png"/><Relationship Id="rId19" Type="http://schemas.openxmlformats.org/officeDocument/2006/relationships/image" Target="../media/image37.png"/><Relationship Id="rId4" Type="http://schemas.openxmlformats.org/officeDocument/2006/relationships/image" Target="../media/image27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45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32.svg"/><Relationship Id="rId24" Type="http://schemas.openxmlformats.org/officeDocument/2006/relationships/image" Target="../media/image41.png"/><Relationship Id="rId5" Type="http://schemas.openxmlformats.org/officeDocument/2006/relationships/image" Target="../media/image44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31.png"/><Relationship Id="rId19" Type="http://schemas.openxmlformats.org/officeDocument/2006/relationships/image" Target="../media/image37.png"/><Relationship Id="rId4" Type="http://schemas.openxmlformats.org/officeDocument/2006/relationships/image" Target="../media/image43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29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48.svg"/><Relationship Id="rId24" Type="http://schemas.openxmlformats.org/officeDocument/2006/relationships/image" Target="../media/image41.png"/><Relationship Id="rId5" Type="http://schemas.openxmlformats.org/officeDocument/2006/relationships/image" Target="../media/image44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47.png"/><Relationship Id="rId19" Type="http://schemas.openxmlformats.org/officeDocument/2006/relationships/image" Target="../media/image37.png"/><Relationship Id="rId4" Type="http://schemas.openxmlformats.org/officeDocument/2006/relationships/image" Target="../media/image43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.xml"/><Relationship Id="rId18" Type="http://schemas.openxmlformats.org/officeDocument/2006/relationships/image" Target="../media/image59.emf"/><Relationship Id="rId26" Type="http://schemas.openxmlformats.org/officeDocument/2006/relationships/hyperlink" Target="#INVESTIMENTOS!A1"/><Relationship Id="rId39" Type="http://schemas.openxmlformats.org/officeDocument/2006/relationships/image" Target="../media/image40.svg"/><Relationship Id="rId21" Type="http://schemas.openxmlformats.org/officeDocument/2006/relationships/image" Target="../media/image43.png"/><Relationship Id="rId34" Type="http://schemas.openxmlformats.org/officeDocument/2006/relationships/image" Target="../media/image36.svg"/><Relationship Id="rId42" Type="http://schemas.openxmlformats.org/officeDocument/2006/relationships/image" Target="../media/image42.svg"/><Relationship Id="rId7" Type="http://schemas.openxmlformats.org/officeDocument/2006/relationships/image" Target="../media/image52.png"/><Relationship Id="rId2" Type="http://schemas.openxmlformats.org/officeDocument/2006/relationships/chart" Target="../charts/chart2.xml"/><Relationship Id="rId16" Type="http://schemas.openxmlformats.org/officeDocument/2006/relationships/image" Target="../media/image57.png"/><Relationship Id="rId20" Type="http://schemas.openxmlformats.org/officeDocument/2006/relationships/hyperlink" Target="#RECEITAS!A1"/><Relationship Id="rId29" Type="http://schemas.openxmlformats.org/officeDocument/2006/relationships/hyperlink" Target="#DASHBOARD!A1"/><Relationship Id="rId41" Type="http://schemas.openxmlformats.org/officeDocument/2006/relationships/image" Target="../media/image41.png"/><Relationship Id="rId1" Type="http://schemas.openxmlformats.org/officeDocument/2006/relationships/chart" Target="../charts/chart1.xml"/><Relationship Id="rId6" Type="http://schemas.openxmlformats.org/officeDocument/2006/relationships/image" Target="../media/image51.png"/><Relationship Id="rId11" Type="http://schemas.openxmlformats.org/officeDocument/2006/relationships/image" Target="../media/image53.png"/><Relationship Id="rId24" Type="http://schemas.openxmlformats.org/officeDocument/2006/relationships/image" Target="../media/image29.png"/><Relationship Id="rId32" Type="http://schemas.openxmlformats.org/officeDocument/2006/relationships/hyperlink" Target="#'ANALISE MENSAL'!A1"/><Relationship Id="rId37" Type="http://schemas.openxmlformats.org/officeDocument/2006/relationships/image" Target="../media/image38.svg"/><Relationship Id="rId40" Type="http://schemas.openxmlformats.org/officeDocument/2006/relationships/hyperlink" Target="#'ANALISE DESPESA'!A1"/><Relationship Id="rId5" Type="http://schemas.openxmlformats.org/officeDocument/2006/relationships/image" Target="../media/image50.png"/><Relationship Id="rId15" Type="http://schemas.openxmlformats.org/officeDocument/2006/relationships/image" Target="../media/image56.emf"/><Relationship Id="rId23" Type="http://schemas.openxmlformats.org/officeDocument/2006/relationships/hyperlink" Target="#DESPESAS!A1"/><Relationship Id="rId28" Type="http://schemas.openxmlformats.org/officeDocument/2006/relationships/image" Target="../media/image62.svg"/><Relationship Id="rId36" Type="http://schemas.openxmlformats.org/officeDocument/2006/relationships/image" Target="../media/image37.png"/><Relationship Id="rId10" Type="http://schemas.openxmlformats.org/officeDocument/2006/relationships/chart" Target="../charts/chart4.xml"/><Relationship Id="rId19" Type="http://schemas.openxmlformats.org/officeDocument/2006/relationships/image" Target="../media/image60.png"/><Relationship Id="rId31" Type="http://schemas.openxmlformats.org/officeDocument/2006/relationships/image" Target="../media/image64.svg"/><Relationship Id="rId4" Type="http://schemas.openxmlformats.org/officeDocument/2006/relationships/chart" Target="../charts/chart3.xml"/><Relationship Id="rId9" Type="http://schemas.openxmlformats.org/officeDocument/2006/relationships/image" Target="../media/image15.png"/><Relationship Id="rId14" Type="http://schemas.openxmlformats.org/officeDocument/2006/relationships/image" Target="../media/image55.emf"/><Relationship Id="rId22" Type="http://schemas.openxmlformats.org/officeDocument/2006/relationships/image" Target="../media/image61.svg"/><Relationship Id="rId27" Type="http://schemas.openxmlformats.org/officeDocument/2006/relationships/image" Target="../media/image31.png"/><Relationship Id="rId30" Type="http://schemas.openxmlformats.org/officeDocument/2006/relationships/image" Target="../media/image63.png"/><Relationship Id="rId35" Type="http://schemas.openxmlformats.org/officeDocument/2006/relationships/hyperlink" Target="#'ANALISE RECEITA'!A1"/><Relationship Id="rId8" Type="http://schemas.openxmlformats.org/officeDocument/2006/relationships/hyperlink" Target="#INDEX!A1"/><Relationship Id="rId3" Type="http://schemas.openxmlformats.org/officeDocument/2006/relationships/image" Target="../media/image49.png"/><Relationship Id="rId12" Type="http://schemas.openxmlformats.org/officeDocument/2006/relationships/image" Target="../media/image54.svg"/><Relationship Id="rId17" Type="http://schemas.openxmlformats.org/officeDocument/2006/relationships/image" Target="../media/image58.png"/><Relationship Id="rId25" Type="http://schemas.openxmlformats.org/officeDocument/2006/relationships/image" Target="../media/image30.svg"/><Relationship Id="rId33" Type="http://schemas.openxmlformats.org/officeDocument/2006/relationships/image" Target="../media/image35.png"/><Relationship Id="rId38" Type="http://schemas.openxmlformats.org/officeDocument/2006/relationships/image" Target="../media/image39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1.svg"/><Relationship Id="rId18" Type="http://schemas.openxmlformats.org/officeDocument/2006/relationships/image" Target="../media/image31.png"/><Relationship Id="rId26" Type="http://schemas.openxmlformats.org/officeDocument/2006/relationships/hyperlink" Target="#'ANALISE RECEITA'!A1"/><Relationship Id="rId3" Type="http://schemas.openxmlformats.org/officeDocument/2006/relationships/image" Target="../media/image58.png"/><Relationship Id="rId21" Type="http://schemas.openxmlformats.org/officeDocument/2006/relationships/image" Target="../media/image33.png"/><Relationship Id="rId7" Type="http://schemas.openxmlformats.org/officeDocument/2006/relationships/image" Target="../media/image60.png"/><Relationship Id="rId12" Type="http://schemas.openxmlformats.org/officeDocument/2006/relationships/image" Target="../media/image43.png"/><Relationship Id="rId17" Type="http://schemas.openxmlformats.org/officeDocument/2006/relationships/hyperlink" Target="#INVESTIMENTOS!A1"/><Relationship Id="rId25" Type="http://schemas.openxmlformats.org/officeDocument/2006/relationships/image" Target="../media/image70.svg"/><Relationship Id="rId33" Type="http://schemas.openxmlformats.org/officeDocument/2006/relationships/image" Target="../media/image42.svg"/><Relationship Id="rId2" Type="http://schemas.openxmlformats.org/officeDocument/2006/relationships/image" Target="../media/image57.png"/><Relationship Id="rId16" Type="http://schemas.openxmlformats.org/officeDocument/2006/relationships/image" Target="../media/image30.svg"/><Relationship Id="rId20" Type="http://schemas.openxmlformats.org/officeDocument/2006/relationships/hyperlink" Target="#DASHBOARD!A1"/><Relationship Id="rId29" Type="http://schemas.openxmlformats.org/officeDocument/2006/relationships/image" Target="../media/image39.png"/><Relationship Id="rId1" Type="http://schemas.openxmlformats.org/officeDocument/2006/relationships/chart" Target="../charts/chart6.xml"/><Relationship Id="rId6" Type="http://schemas.openxmlformats.org/officeDocument/2006/relationships/image" Target="../media/image15.png"/><Relationship Id="rId11" Type="http://schemas.openxmlformats.org/officeDocument/2006/relationships/hyperlink" Target="#RECEITAS!A1"/><Relationship Id="rId24" Type="http://schemas.openxmlformats.org/officeDocument/2006/relationships/image" Target="../media/image69.png"/><Relationship Id="rId32" Type="http://schemas.openxmlformats.org/officeDocument/2006/relationships/image" Target="../media/image41.png"/><Relationship Id="rId5" Type="http://schemas.openxmlformats.org/officeDocument/2006/relationships/hyperlink" Target="#INDEX!A1"/><Relationship Id="rId15" Type="http://schemas.openxmlformats.org/officeDocument/2006/relationships/image" Target="../media/image29.png"/><Relationship Id="rId23" Type="http://schemas.openxmlformats.org/officeDocument/2006/relationships/hyperlink" Target="#'ANALISE MENSAL'!A1"/><Relationship Id="rId28" Type="http://schemas.openxmlformats.org/officeDocument/2006/relationships/image" Target="../media/image38.svg"/><Relationship Id="rId10" Type="http://schemas.openxmlformats.org/officeDocument/2006/relationships/image" Target="../media/image54.svg"/><Relationship Id="rId19" Type="http://schemas.openxmlformats.org/officeDocument/2006/relationships/image" Target="../media/image32.svg"/><Relationship Id="rId31" Type="http://schemas.openxmlformats.org/officeDocument/2006/relationships/hyperlink" Target="#'ANALISE DESPESA'!A1"/><Relationship Id="rId4" Type="http://schemas.openxmlformats.org/officeDocument/2006/relationships/chart" Target="../charts/chart7.xml"/><Relationship Id="rId9" Type="http://schemas.openxmlformats.org/officeDocument/2006/relationships/image" Target="../media/image53.png"/><Relationship Id="rId14" Type="http://schemas.openxmlformats.org/officeDocument/2006/relationships/hyperlink" Target="#DESPESAS!A1"/><Relationship Id="rId22" Type="http://schemas.openxmlformats.org/officeDocument/2006/relationships/image" Target="../media/image68.svg"/><Relationship Id="rId27" Type="http://schemas.openxmlformats.org/officeDocument/2006/relationships/image" Target="../media/image37.png"/><Relationship Id="rId30" Type="http://schemas.openxmlformats.org/officeDocument/2006/relationships/image" Target="../media/image40.svg"/><Relationship Id="rId8" Type="http://schemas.openxmlformats.org/officeDocument/2006/relationships/image" Target="../media/image5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ESPESAS!A1"/><Relationship Id="rId13" Type="http://schemas.openxmlformats.org/officeDocument/2006/relationships/image" Target="../media/image32.svg"/><Relationship Id="rId18" Type="http://schemas.openxmlformats.org/officeDocument/2006/relationships/image" Target="../media/image35.png"/><Relationship Id="rId26" Type="http://schemas.openxmlformats.org/officeDocument/2006/relationships/image" Target="../media/image37.png"/><Relationship Id="rId3" Type="http://schemas.openxmlformats.org/officeDocument/2006/relationships/chart" Target="../charts/chart8.xml"/><Relationship Id="rId21" Type="http://schemas.openxmlformats.org/officeDocument/2006/relationships/image" Target="../media/image71.png"/><Relationship Id="rId7" Type="http://schemas.openxmlformats.org/officeDocument/2006/relationships/image" Target="../media/image61.svg"/><Relationship Id="rId12" Type="http://schemas.openxmlformats.org/officeDocument/2006/relationships/image" Target="../media/image31.png"/><Relationship Id="rId17" Type="http://schemas.openxmlformats.org/officeDocument/2006/relationships/hyperlink" Target="#'ANALISE MENSAL'!A1"/><Relationship Id="rId25" Type="http://schemas.openxmlformats.org/officeDocument/2006/relationships/hyperlink" Target="#'ANALISE DESPESA'!A1"/><Relationship Id="rId2" Type="http://schemas.openxmlformats.org/officeDocument/2006/relationships/image" Target="../media/image15.png"/><Relationship Id="rId16" Type="http://schemas.openxmlformats.org/officeDocument/2006/relationships/image" Target="../media/image68.svg"/><Relationship Id="rId20" Type="http://schemas.openxmlformats.org/officeDocument/2006/relationships/hyperlink" Target="#'ANALISE RECEITA'!A1"/><Relationship Id="rId29" Type="http://schemas.openxmlformats.org/officeDocument/2006/relationships/image" Target="../media/image42.svg"/><Relationship Id="rId1" Type="http://schemas.openxmlformats.org/officeDocument/2006/relationships/hyperlink" Target="#INDEX!A1"/><Relationship Id="rId6" Type="http://schemas.openxmlformats.org/officeDocument/2006/relationships/image" Target="../media/image43.png"/><Relationship Id="rId11" Type="http://schemas.openxmlformats.org/officeDocument/2006/relationships/hyperlink" Target="#INVESTIMENTOS!A1"/><Relationship Id="rId24" Type="http://schemas.openxmlformats.org/officeDocument/2006/relationships/image" Target="../media/image74.svg"/><Relationship Id="rId5" Type="http://schemas.openxmlformats.org/officeDocument/2006/relationships/hyperlink" Target="#RECEITAS!A1"/><Relationship Id="rId15" Type="http://schemas.openxmlformats.org/officeDocument/2006/relationships/image" Target="../media/image33.png"/><Relationship Id="rId23" Type="http://schemas.openxmlformats.org/officeDocument/2006/relationships/image" Target="../media/image73.png"/><Relationship Id="rId28" Type="http://schemas.openxmlformats.org/officeDocument/2006/relationships/image" Target="../media/image41.png"/><Relationship Id="rId10" Type="http://schemas.openxmlformats.org/officeDocument/2006/relationships/image" Target="../media/image30.svg"/><Relationship Id="rId19" Type="http://schemas.openxmlformats.org/officeDocument/2006/relationships/image" Target="../media/image36.svg"/><Relationship Id="rId4" Type="http://schemas.openxmlformats.org/officeDocument/2006/relationships/chart" Target="../charts/chart9.xml"/><Relationship Id="rId9" Type="http://schemas.openxmlformats.org/officeDocument/2006/relationships/image" Target="../media/image29.png"/><Relationship Id="rId14" Type="http://schemas.openxmlformats.org/officeDocument/2006/relationships/hyperlink" Target="#DASHBOARD!A1"/><Relationship Id="rId22" Type="http://schemas.openxmlformats.org/officeDocument/2006/relationships/image" Target="../media/image72.svg"/><Relationship Id="rId27" Type="http://schemas.openxmlformats.org/officeDocument/2006/relationships/image" Target="../media/image38.sv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DESPESAS!A1"/><Relationship Id="rId13" Type="http://schemas.openxmlformats.org/officeDocument/2006/relationships/image" Target="../media/image32.svg"/><Relationship Id="rId18" Type="http://schemas.openxmlformats.org/officeDocument/2006/relationships/image" Target="../media/image35.png"/><Relationship Id="rId26" Type="http://schemas.openxmlformats.org/officeDocument/2006/relationships/image" Target="../media/image71.png"/><Relationship Id="rId3" Type="http://schemas.openxmlformats.org/officeDocument/2006/relationships/hyperlink" Target="#INDEX!A1"/><Relationship Id="rId21" Type="http://schemas.openxmlformats.org/officeDocument/2006/relationships/image" Target="../media/image37.png"/><Relationship Id="rId7" Type="http://schemas.openxmlformats.org/officeDocument/2006/relationships/image" Target="../media/image61.svg"/><Relationship Id="rId12" Type="http://schemas.openxmlformats.org/officeDocument/2006/relationships/image" Target="../media/image31.png"/><Relationship Id="rId17" Type="http://schemas.openxmlformats.org/officeDocument/2006/relationships/hyperlink" Target="#'ANALISE MENSAL'!A1"/><Relationship Id="rId25" Type="http://schemas.openxmlformats.org/officeDocument/2006/relationships/hyperlink" Target="#'ANALISE DESPESA'!A1"/><Relationship Id="rId2" Type="http://schemas.openxmlformats.org/officeDocument/2006/relationships/chart" Target="../charts/chart11.xml"/><Relationship Id="rId16" Type="http://schemas.openxmlformats.org/officeDocument/2006/relationships/image" Target="../media/image68.svg"/><Relationship Id="rId20" Type="http://schemas.openxmlformats.org/officeDocument/2006/relationships/hyperlink" Target="#'ANALISE RECEITA'!A1"/><Relationship Id="rId29" Type="http://schemas.openxmlformats.org/officeDocument/2006/relationships/image" Target="../media/image76.svg"/><Relationship Id="rId1" Type="http://schemas.openxmlformats.org/officeDocument/2006/relationships/chart" Target="../charts/chart10.xml"/><Relationship Id="rId6" Type="http://schemas.openxmlformats.org/officeDocument/2006/relationships/image" Target="../media/image43.png"/><Relationship Id="rId11" Type="http://schemas.openxmlformats.org/officeDocument/2006/relationships/hyperlink" Target="#INVESTIMENTOS!A1"/><Relationship Id="rId24" Type="http://schemas.openxmlformats.org/officeDocument/2006/relationships/image" Target="../media/image40.svg"/><Relationship Id="rId5" Type="http://schemas.openxmlformats.org/officeDocument/2006/relationships/hyperlink" Target="#RECEITAS!A1"/><Relationship Id="rId15" Type="http://schemas.openxmlformats.org/officeDocument/2006/relationships/image" Target="../media/image33.png"/><Relationship Id="rId23" Type="http://schemas.openxmlformats.org/officeDocument/2006/relationships/image" Target="../media/image39.png"/><Relationship Id="rId28" Type="http://schemas.openxmlformats.org/officeDocument/2006/relationships/image" Target="../media/image75.png"/><Relationship Id="rId10" Type="http://schemas.openxmlformats.org/officeDocument/2006/relationships/image" Target="../media/image30.svg"/><Relationship Id="rId19" Type="http://schemas.openxmlformats.org/officeDocument/2006/relationships/image" Target="../media/image36.svg"/><Relationship Id="rId4" Type="http://schemas.openxmlformats.org/officeDocument/2006/relationships/image" Target="../media/image15.png"/><Relationship Id="rId9" Type="http://schemas.openxmlformats.org/officeDocument/2006/relationships/image" Target="../media/image29.png"/><Relationship Id="rId14" Type="http://schemas.openxmlformats.org/officeDocument/2006/relationships/hyperlink" Target="#DASHBOARD!A1"/><Relationship Id="rId22" Type="http://schemas.openxmlformats.org/officeDocument/2006/relationships/image" Target="../media/image38.svg"/><Relationship Id="rId27" Type="http://schemas.openxmlformats.org/officeDocument/2006/relationships/image" Target="../media/image72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6.emf"/><Relationship Id="rId1" Type="http://schemas.openxmlformats.org/officeDocument/2006/relationships/image" Target="../media/image6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237474</xdr:colOff>
      <xdr:row>24</xdr:row>
      <xdr:rowOff>122047</xdr:rowOff>
    </xdr:from>
    <xdr:to>
      <xdr:col>19</xdr:col>
      <xdr:colOff>374352</xdr:colOff>
      <xdr:row>25</xdr:row>
      <xdr:rowOff>122047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AEEDD9EB-662B-496F-8B74-1FCA2D5032DC}"/>
            </a:ext>
          </a:extLst>
        </xdr:cNvPr>
        <xdr:cNvSpPr/>
      </xdr:nvSpPr>
      <xdr:spPr>
        <a:xfrm rot="19084040">
          <a:off x="12365974" y="4616436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224017</xdr:colOff>
      <xdr:row>23</xdr:row>
      <xdr:rowOff>180877</xdr:rowOff>
    </xdr:from>
    <xdr:to>
      <xdr:col>19</xdr:col>
      <xdr:colOff>41018</xdr:colOff>
      <xdr:row>24</xdr:row>
      <xdr:rowOff>244659</xdr:rowOff>
    </xdr:to>
    <xdr:sp macro="" textlink="">
      <xdr:nvSpPr>
        <xdr:cNvPr id="100" name="Flowchart: Delay 99">
          <a:extLst>
            <a:ext uri="{FF2B5EF4-FFF2-40B4-BE49-F238E27FC236}">
              <a16:creationId xmlns:a16="http://schemas.microsoft.com/office/drawing/2014/main" id="{58291044-09D8-4780-ADBF-029F74F61C9B}"/>
            </a:ext>
          </a:extLst>
        </xdr:cNvPr>
        <xdr:cNvSpPr/>
      </xdr:nvSpPr>
      <xdr:spPr>
        <a:xfrm rot="2918129">
          <a:off x="12458432" y="4385906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607187</xdr:colOff>
      <xdr:row>24</xdr:row>
      <xdr:rowOff>110761</xdr:rowOff>
    </xdr:from>
    <xdr:to>
      <xdr:col>9</xdr:col>
      <xdr:colOff>412454</xdr:colOff>
      <xdr:row>25</xdr:row>
      <xdr:rowOff>110761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9F4D2831-3280-46D2-A8C3-8759BFB19E16}"/>
            </a:ext>
          </a:extLst>
        </xdr:cNvPr>
        <xdr:cNvSpPr/>
      </xdr:nvSpPr>
      <xdr:spPr>
        <a:xfrm rot="2357766">
          <a:off x="5334409" y="4605150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946508</xdr:colOff>
      <xdr:row>24</xdr:row>
      <xdr:rowOff>7312</xdr:rowOff>
    </xdr:from>
    <xdr:to>
      <xdr:col>9</xdr:col>
      <xdr:colOff>431898</xdr:colOff>
      <xdr:row>24</xdr:row>
      <xdr:rowOff>254539</xdr:rowOff>
    </xdr:to>
    <xdr:sp macro="" textlink="">
      <xdr:nvSpPr>
        <xdr:cNvPr id="99" name="Flowchart: Delay 98">
          <a:extLst>
            <a:ext uri="{FF2B5EF4-FFF2-40B4-BE49-F238E27FC236}">
              <a16:creationId xmlns:a16="http://schemas.microsoft.com/office/drawing/2014/main" id="{6D7541E5-47AE-41AF-B2FB-A2BC45F7AC5B}"/>
            </a:ext>
          </a:extLst>
        </xdr:cNvPr>
        <xdr:cNvSpPr/>
      </xdr:nvSpPr>
      <xdr:spPr>
        <a:xfrm rot="7524059">
          <a:off x="5779645" y="4395786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518582</xdr:colOff>
      <xdr:row>0</xdr:row>
      <xdr:rowOff>219691</xdr:rowOff>
    </xdr:from>
    <xdr:to>
      <xdr:col>9</xdr:col>
      <xdr:colOff>401487</xdr:colOff>
      <xdr:row>2</xdr:row>
      <xdr:rowOff>120090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C154A91-E782-0149-6BCB-EC52DE1FD380}"/>
            </a:ext>
          </a:extLst>
        </xdr:cNvPr>
        <xdr:cNvGrpSpPr/>
      </xdr:nvGrpSpPr>
      <xdr:grpSpPr>
        <a:xfrm>
          <a:off x="4921249" y="219691"/>
          <a:ext cx="856571" cy="310327"/>
          <a:chOff x="5245804" y="219691"/>
          <a:chExt cx="856572" cy="316677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2B807C3-111F-46AD-87F6-B718F57803E1}"/>
              </a:ext>
            </a:extLst>
          </xdr:cNvPr>
          <xdr:cNvSpPr/>
        </xdr:nvSpPr>
        <xdr:spPr>
          <a:xfrm rot="19115299">
            <a:off x="5245804" y="219691"/>
            <a:ext cx="778934" cy="30338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6" name="Flowchart: Delay 45">
            <a:extLst>
              <a:ext uri="{FF2B5EF4-FFF2-40B4-BE49-F238E27FC236}">
                <a16:creationId xmlns:a16="http://schemas.microsoft.com/office/drawing/2014/main" id="{41D1C74E-3256-4524-A1A5-477C19A58598}"/>
              </a:ext>
            </a:extLst>
          </xdr:cNvPr>
          <xdr:cNvSpPr/>
        </xdr:nvSpPr>
        <xdr:spPr>
          <a:xfrm rot="13526060">
            <a:off x="5758326" y="192318"/>
            <a:ext cx="248720" cy="439380"/>
          </a:xfrm>
          <a:prstGeom prst="flowChartDelay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9</xdr:col>
      <xdr:colOff>129905</xdr:colOff>
      <xdr:row>2</xdr:row>
      <xdr:rowOff>35276</xdr:rowOff>
    </xdr:from>
    <xdr:to>
      <xdr:col>15</xdr:col>
      <xdr:colOff>4938</xdr:colOff>
      <xdr:row>5</xdr:row>
      <xdr:rowOff>59268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7F2B466-3E3D-9079-0D2B-3DA015C01DE6}"/>
            </a:ext>
          </a:extLst>
        </xdr:cNvPr>
        <xdr:cNvGrpSpPr/>
      </xdr:nvGrpSpPr>
      <xdr:grpSpPr>
        <a:xfrm>
          <a:off x="5506238" y="451554"/>
          <a:ext cx="3663867" cy="531992"/>
          <a:chOff x="5520350" y="465666"/>
          <a:chExt cx="3663867" cy="531992"/>
        </a:xfrm>
      </xdr:grpSpPr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96E04E59-6A93-4337-852E-8E3B9B7AA330}"/>
              </a:ext>
            </a:extLst>
          </xdr:cNvPr>
          <xdr:cNvSpPr txBox="1"/>
        </xdr:nvSpPr>
        <xdr:spPr>
          <a:xfrm>
            <a:off x="5877983" y="465666"/>
            <a:ext cx="3110795" cy="328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CONFIGURAÇÕES: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49F53A45-4D33-47C8-A56B-D9406CABD9FD}"/>
              </a:ext>
            </a:extLst>
          </xdr:cNvPr>
          <xdr:cNvSpPr txBox="1"/>
        </xdr:nvSpPr>
        <xdr:spPr>
          <a:xfrm>
            <a:off x="5890683" y="716847"/>
            <a:ext cx="3293534" cy="2808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QUANTO VOCÊ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DESEJA INVESTIR POR MÊS?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53" name="Graphic 52" descr="Single gear outline">
            <a:extLst>
              <a:ext uri="{FF2B5EF4-FFF2-40B4-BE49-F238E27FC236}">
                <a16:creationId xmlns:a16="http://schemas.microsoft.com/office/drawing/2014/main" id="{BFE33E6D-3EFA-4277-9B29-32AD349BB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520350" y="516466"/>
            <a:ext cx="431800" cy="43038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156011</xdr:colOff>
      <xdr:row>17</xdr:row>
      <xdr:rowOff>35277</xdr:rowOff>
    </xdr:from>
    <xdr:to>
      <xdr:col>15</xdr:col>
      <xdr:colOff>310444</xdr:colOff>
      <xdr:row>19</xdr:row>
      <xdr:rowOff>87488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0A6D478-A989-1AD5-0764-5A73E73A94C8}"/>
            </a:ext>
          </a:extLst>
        </xdr:cNvPr>
        <xdr:cNvGrpSpPr/>
      </xdr:nvGrpSpPr>
      <xdr:grpSpPr>
        <a:xfrm>
          <a:off x="5532344" y="3203221"/>
          <a:ext cx="3943267" cy="419100"/>
          <a:chOff x="5532344" y="3203221"/>
          <a:chExt cx="3943267" cy="419100"/>
        </a:xfrm>
      </xdr:grpSpPr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731C73FD-6515-4034-9FC0-9D716650E7ED}"/>
              </a:ext>
            </a:extLst>
          </xdr:cNvPr>
          <xdr:cNvSpPr txBox="1"/>
        </xdr:nvSpPr>
        <xdr:spPr>
          <a:xfrm>
            <a:off x="5870927" y="3239909"/>
            <a:ext cx="3604684" cy="336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O</a:t>
            </a:r>
            <a:r>
              <a:rPr lang="pt-BR" sz="1600" b="1" baseline="0">
                <a:solidFill>
                  <a:schemeClr val="bg1"/>
                </a:solidFill>
                <a:latin typeface="Ubuntu" panose="020B0504030602030204" pitchFamily="34" charset="0"/>
              </a:rPr>
              <a:t> QUE DESEJA FAZER AGORA?</a:t>
            </a:r>
            <a:endParaRPr lang="pt-BR" sz="1600" b="1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61" name="Graphic 60" descr="Cursor outline">
            <a:extLst>
              <a:ext uri="{FF2B5EF4-FFF2-40B4-BE49-F238E27FC236}">
                <a16:creationId xmlns:a16="http://schemas.microsoft.com/office/drawing/2014/main" id="{C152C0AA-B239-4715-9320-1026F5493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 rot="4741403">
            <a:off x="5532344" y="3203221"/>
            <a:ext cx="419100" cy="4191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313676</xdr:colOff>
      <xdr:row>0</xdr:row>
      <xdr:rowOff>212360</xdr:rowOff>
    </xdr:from>
    <xdr:to>
      <xdr:col>19</xdr:col>
      <xdr:colOff>450554</xdr:colOff>
      <xdr:row>2</xdr:row>
      <xdr:rowOff>99471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C876C8AF-32FE-45B5-B8FC-A0439948C881}"/>
            </a:ext>
          </a:extLst>
        </xdr:cNvPr>
        <xdr:cNvSpPr/>
      </xdr:nvSpPr>
      <xdr:spPr>
        <a:xfrm rot="2357766">
          <a:off x="12442176" y="212360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215553</xdr:colOff>
      <xdr:row>1</xdr:row>
      <xdr:rowOff>52470</xdr:rowOff>
    </xdr:from>
    <xdr:to>
      <xdr:col>19</xdr:col>
      <xdr:colOff>32554</xdr:colOff>
      <xdr:row>2</xdr:row>
      <xdr:rowOff>116252</xdr:rowOff>
    </xdr:to>
    <xdr:sp macro="" textlink="">
      <xdr:nvSpPr>
        <xdr:cNvPr id="95" name="Flowchart: Delay 94">
          <a:extLst>
            <a:ext uri="{FF2B5EF4-FFF2-40B4-BE49-F238E27FC236}">
              <a16:creationId xmlns:a16="http://schemas.microsoft.com/office/drawing/2014/main" id="{5427EF6C-5BA9-4070-AFEC-A1BDD4EAD0D8}"/>
            </a:ext>
          </a:extLst>
        </xdr:cNvPr>
        <xdr:cNvSpPr/>
      </xdr:nvSpPr>
      <xdr:spPr>
        <a:xfrm rot="18644419">
          <a:off x="12449968" y="179388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280108</xdr:colOff>
      <xdr:row>19</xdr:row>
      <xdr:rowOff>119945</xdr:rowOff>
    </xdr:from>
    <xdr:to>
      <xdr:col>18</xdr:col>
      <xdr:colOff>381708</xdr:colOff>
      <xdr:row>24</xdr:row>
      <xdr:rowOff>115007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D3BF590B-3A20-DA9E-7529-40579D83031B}"/>
            </a:ext>
          </a:extLst>
        </xdr:cNvPr>
        <xdr:cNvGrpSpPr/>
      </xdr:nvGrpSpPr>
      <xdr:grpSpPr>
        <a:xfrm>
          <a:off x="5656441" y="3654778"/>
          <a:ext cx="6529211" cy="912285"/>
          <a:chOff x="5980997" y="3697112"/>
          <a:chExt cx="6529211" cy="912284"/>
        </a:xfrm>
      </xdr:grpSpPr>
      <xdr:sp macro="" textlink="">
        <xdr:nvSpPr>
          <xdr:cNvPr id="79" name="Rectangle: Rounded Corners 7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2F6DDB2-D6EF-451F-962A-0979CE284A8C}"/>
              </a:ext>
            </a:extLst>
          </xdr:cNvPr>
          <xdr:cNvSpPr/>
        </xdr:nvSpPr>
        <xdr:spPr>
          <a:xfrm>
            <a:off x="730955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</a:p>
          <a:p>
            <a:pPr algn="l"/>
            <a:endParaRPr lang="pt-BR" sz="11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algn="l"/>
            <a:r>
              <a:rPr lang="pt-BR" sz="9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INSERIR UMA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RECEITA NA PLANILHA</a:t>
            </a:r>
          </a:p>
          <a:p>
            <a:pPr algn="ctr"/>
            <a:endParaRPr lang="pt-BR" sz="1100" b="1">
              <a:solidFill>
                <a:schemeClr val="bg2">
                  <a:lumMod val="25000"/>
                </a:schemeClr>
              </a:solidFill>
              <a:latin typeface="Ubuntu" panose="020B0504030602030204" pitchFamily="34" charset="0"/>
            </a:endParaRPr>
          </a:p>
          <a:p>
            <a:pPr algn="ctr"/>
            <a:endParaRPr lang="pt-BR" sz="1100" b="1">
              <a:solidFill>
                <a:schemeClr val="bg2">
                  <a:lumMod val="25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1" name="Rectangle: Rounded Corners 8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E3B2909-3066-4929-8B5A-980FC8DC4A8C}"/>
              </a:ext>
            </a:extLst>
          </xdr:cNvPr>
          <xdr:cNvSpPr/>
        </xdr:nvSpPr>
        <xdr:spPr>
          <a:xfrm>
            <a:off x="86367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INSERIR UMA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DESPESA NA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2" name="Rectangle: Rounded Corners 8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AD81C24-8621-419B-8AB0-2F9554374025}"/>
              </a:ext>
            </a:extLst>
          </xdr:cNvPr>
          <xdr:cNvSpPr/>
        </xdr:nvSpPr>
        <xdr:spPr>
          <a:xfrm>
            <a:off x="99702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INVEST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INSERIR UM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INVESTIMENTO NA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3" name="Rectangle: Rounded Corners 8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59B918F-77D9-4977-AC33-FAD98B695E06}"/>
              </a:ext>
            </a:extLst>
          </xdr:cNvPr>
          <xdr:cNvSpPr/>
        </xdr:nvSpPr>
        <xdr:spPr>
          <a:xfrm>
            <a:off x="113037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PAINEL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QUERO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ACESSAR O  DASHBOARD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84" name="Graphic 83" descr="Badge Follow outline">
            <a:extLst>
              <a:ext uri="{FF2B5EF4-FFF2-40B4-BE49-F238E27FC236}">
                <a16:creationId xmlns:a16="http://schemas.microsoft.com/office/drawing/2014/main" id="{10BA7D93-99FE-45D7-90F1-BCE311549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7385758" y="3735212"/>
            <a:ext cx="342900" cy="298450"/>
          </a:xfrm>
          <a:prstGeom prst="rect">
            <a:avLst/>
          </a:prstGeom>
        </xdr:spPr>
      </xdr:pic>
      <xdr:pic>
        <xdr:nvPicPr>
          <xdr:cNvPr id="85" name="Graphic 84" descr="Badge Unfollow outline">
            <a:extLst>
              <a:ext uri="{FF2B5EF4-FFF2-40B4-BE49-F238E27FC236}">
                <a16:creationId xmlns:a16="http://schemas.microsoft.com/office/drawing/2014/main" id="{2FF2FF28-6013-4B50-9908-7DB46337BB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8719258" y="3741562"/>
            <a:ext cx="317500" cy="285750"/>
          </a:xfrm>
          <a:prstGeom prst="rect">
            <a:avLst/>
          </a:prstGeom>
        </xdr:spPr>
      </xdr:pic>
      <xdr:pic>
        <xdr:nvPicPr>
          <xdr:cNvPr id="88" name="Graphic 87" descr="Pie chart outline">
            <a:extLst>
              <a:ext uri="{FF2B5EF4-FFF2-40B4-BE49-F238E27FC236}">
                <a16:creationId xmlns:a16="http://schemas.microsoft.com/office/drawing/2014/main" id="{DDBA1002-C46D-40DA-94E2-DACC678E48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0071808" y="3741562"/>
            <a:ext cx="311150" cy="285750"/>
          </a:xfrm>
          <a:prstGeom prst="rect">
            <a:avLst/>
          </a:prstGeom>
        </xdr:spPr>
      </xdr:pic>
      <xdr:pic>
        <xdr:nvPicPr>
          <xdr:cNvPr id="89" name="Graphic 88" descr="Gauge outline">
            <a:extLst>
              <a:ext uri="{FF2B5EF4-FFF2-40B4-BE49-F238E27FC236}">
                <a16:creationId xmlns:a16="http://schemas.microsoft.com/office/drawing/2014/main" id="{7CF260D5-339B-4AF4-B268-280249E184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11418008" y="3709812"/>
            <a:ext cx="304800" cy="317500"/>
          </a:xfrm>
          <a:prstGeom prst="rect">
            <a:avLst/>
          </a:prstGeom>
        </xdr:spPr>
      </xdr:pic>
      <xdr:sp macro="" textlink="">
        <xdr:nvSpPr>
          <xdr:cNvPr id="92" name="Rectangle: Rounded Corners 9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97EC8A29-FA58-4345-AC02-5EC86E2FE65F}"/>
              </a:ext>
            </a:extLst>
          </xdr:cNvPr>
          <xdr:cNvSpPr/>
        </xdr:nvSpPr>
        <xdr:spPr>
          <a:xfrm>
            <a:off x="5980997" y="3701346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MODELO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VER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COMO PREENCHER 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5" name="Graphic 104" descr="List outline">
            <a:extLst>
              <a:ext uri="{FF2B5EF4-FFF2-40B4-BE49-F238E27FC236}">
                <a16:creationId xmlns:a16="http://schemas.microsoft.com/office/drawing/2014/main" id="{3E9E4683-4948-1C7B-1EC7-21D7EA2081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088940" y="3753559"/>
            <a:ext cx="275167" cy="27516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317499</xdr:colOff>
      <xdr:row>4</xdr:row>
      <xdr:rowOff>169333</xdr:rowOff>
    </xdr:from>
    <xdr:to>
      <xdr:col>8</xdr:col>
      <xdr:colOff>71260</xdr:colOff>
      <xdr:row>21</xdr:row>
      <xdr:rowOff>98072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B10BEEA-B4BF-8218-5F56-EB1167DD6F10}"/>
            </a:ext>
          </a:extLst>
        </xdr:cNvPr>
        <xdr:cNvGrpSpPr/>
      </xdr:nvGrpSpPr>
      <xdr:grpSpPr>
        <a:xfrm>
          <a:off x="924277" y="881944"/>
          <a:ext cx="3549650" cy="3117850"/>
          <a:chOff x="924277" y="881944"/>
          <a:chExt cx="3549650" cy="3117850"/>
        </a:xfrm>
      </xdr:grpSpPr>
      <xdr:pic>
        <xdr:nvPicPr>
          <xdr:cNvPr id="106" name="Picture 105" descr="Previ Novartis – Seu futuro é o nosso melhor presente">
            <a:extLst>
              <a:ext uri="{FF2B5EF4-FFF2-40B4-BE49-F238E27FC236}">
                <a16:creationId xmlns:a16="http://schemas.microsoft.com/office/drawing/2014/main" id="{AEBAE7FA-CF1A-4568-BB86-9ADAE937F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60877" y="881944"/>
            <a:ext cx="1942479" cy="5813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C9CA77D4-868C-4DAE-9400-A2A622575CE7}"/>
              </a:ext>
            </a:extLst>
          </xdr:cNvPr>
          <xdr:cNvSpPr txBox="1"/>
        </xdr:nvSpPr>
        <xdr:spPr>
          <a:xfrm>
            <a:off x="924277" y="1491544"/>
            <a:ext cx="3549650" cy="1682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360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PLANILHA DE</a:t>
            </a:r>
          </a:p>
          <a:p>
            <a:pPr algn="ctr"/>
            <a:r>
              <a:rPr lang="pt-BR" sz="36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ORÇAMENTO PESSOAL</a:t>
            </a:r>
          </a:p>
        </xdr:txBody>
      </xdr:sp>
      <xdr:pic>
        <xdr:nvPicPr>
          <xdr:cNvPr id="108" name="Graphic 107" descr="Piggy Bank outline">
            <a:extLst>
              <a:ext uri="{FF2B5EF4-FFF2-40B4-BE49-F238E27FC236}">
                <a16:creationId xmlns:a16="http://schemas.microsoft.com/office/drawing/2014/main" id="{E08DF3C1-592F-407C-B7E0-BBB326BEE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264127" y="3085394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175767</xdr:colOff>
      <xdr:row>5</xdr:row>
      <xdr:rowOff>76200</xdr:rowOff>
    </xdr:from>
    <xdr:to>
      <xdr:col>18</xdr:col>
      <xdr:colOff>345722</xdr:colOff>
      <xdr:row>17</xdr:row>
      <xdr:rowOff>69846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3A38CCA-F2C8-F1F3-47A0-A6400D027DDE}"/>
            </a:ext>
          </a:extLst>
        </xdr:cNvPr>
        <xdr:cNvGrpSpPr/>
      </xdr:nvGrpSpPr>
      <xdr:grpSpPr>
        <a:xfrm>
          <a:off x="5552100" y="1000478"/>
          <a:ext cx="6597566" cy="2237312"/>
          <a:chOff x="5552100" y="1000478"/>
          <a:chExt cx="6597566" cy="2237312"/>
        </a:xfrm>
      </xdr:grpSpPr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8F1A199C-5E02-4EAD-8FD0-25ACDA970254}"/>
              </a:ext>
            </a:extLst>
          </xdr:cNvPr>
          <xdr:cNvSpPr txBox="1"/>
        </xdr:nvSpPr>
        <xdr:spPr>
          <a:xfrm>
            <a:off x="5877983" y="1000478"/>
            <a:ext cx="2043995" cy="4332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INSTRUÇÕES: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37A6F4E4-070B-4DAA-AA47-DF4A4FDA4CA7}"/>
              </a:ext>
            </a:extLst>
          </xdr:cNvPr>
          <xdr:cNvSpPr txBox="1"/>
        </xdr:nvSpPr>
        <xdr:spPr>
          <a:xfrm>
            <a:off x="5890683" y="1325739"/>
            <a:ext cx="4277784" cy="2596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1. UTILIZE O MENU PARA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NAVEGAR ENTRE AS SHEETS;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56" name="Graphic 55" descr="Document outline">
            <a:extLst>
              <a:ext uri="{FF2B5EF4-FFF2-40B4-BE49-F238E27FC236}">
                <a16:creationId xmlns:a16="http://schemas.microsoft.com/office/drawing/2014/main" id="{1DE7B6B4-1F56-4AFA-A3BF-9354B1B56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552100" y="1076678"/>
            <a:ext cx="368300" cy="366889"/>
          </a:xfrm>
          <a:prstGeom prst="rect">
            <a:avLst/>
          </a:prstGeom>
        </xdr:spPr>
      </xdr:pic>
      <xdr:sp macro="" textlink="">
        <xdr:nvSpPr>
          <xdr:cNvPr id="57" name="Rectangle: Rounded Corners 56">
            <a:extLst>
              <a:ext uri="{FF2B5EF4-FFF2-40B4-BE49-F238E27FC236}">
                <a16:creationId xmlns:a16="http://schemas.microsoft.com/office/drawing/2014/main" id="{7DA4CE53-5823-4688-9C1D-6E319356D47F}"/>
              </a:ext>
            </a:extLst>
          </xdr:cNvPr>
          <xdr:cNvSpPr/>
        </xdr:nvSpPr>
        <xdr:spPr>
          <a:xfrm>
            <a:off x="5679722" y="1648179"/>
            <a:ext cx="6469944" cy="320321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2AD6D391-F5C3-4BFE-AF01-46F123C158AC}"/>
              </a:ext>
            </a:extLst>
          </xdr:cNvPr>
          <xdr:cNvSpPr txBox="1"/>
        </xdr:nvSpPr>
        <xdr:spPr>
          <a:xfrm>
            <a:off x="5887861" y="2029876"/>
            <a:ext cx="5951361" cy="28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2.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PREENCHA OS DADOS DE RECEITAS, DESPESAS E INVESTIMENTOS;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0E53C7FA-E40F-47F8-AF40-5DAD1874F851}"/>
              </a:ext>
            </a:extLst>
          </xdr:cNvPr>
          <xdr:cNvSpPr txBox="1"/>
        </xdr:nvSpPr>
        <xdr:spPr>
          <a:xfrm>
            <a:off x="5887861" y="2297283"/>
            <a:ext cx="5288139" cy="505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3.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AS DEMAIS TELAS SÃO PAINEIS AUTOMÁTICOS QUE VOCÊ </a:t>
            </a:r>
            <a:r>
              <a:rPr lang="pt-BR" sz="1200" b="0" u="sng" baseline="0">
                <a:solidFill>
                  <a:schemeClr val="bg1"/>
                </a:solidFill>
                <a:latin typeface="Ubuntu" panose="020B0504030602030204" pitchFamily="34" charset="0"/>
              </a:rPr>
              <a:t>NÃO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PRECISA INSERIR INFORMAÇÕES, APENAS UTILIZAR OS FILTROS;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77" name="TextBox 76">
            <a:extLst>
              <a:ext uri="{FF2B5EF4-FFF2-40B4-BE49-F238E27FC236}">
                <a16:creationId xmlns:a16="http://schemas.microsoft.com/office/drawing/2014/main" id="{6EA8ACC1-B77B-4F69-B95B-45CD5B1AB87E}"/>
              </a:ext>
            </a:extLst>
          </xdr:cNvPr>
          <xdr:cNvSpPr txBox="1"/>
        </xdr:nvSpPr>
        <xdr:spPr>
          <a:xfrm>
            <a:off x="5887861" y="2731907"/>
            <a:ext cx="5753805" cy="505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4.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A PLANILHA ESTÁ BLOQUEADA PARA EVITAR QUE AS FÓRMULAS SEJAM APAGADAS. SE PRECISAR EDITAR, A SENHA É </a:t>
            </a:r>
            <a:r>
              <a:rPr lang="pt-BR" sz="1200" b="1" baseline="0">
                <a:solidFill>
                  <a:schemeClr val="bg1"/>
                </a:solidFill>
                <a:latin typeface="Ubuntu" panose="020B0504030602030204" pitchFamily="34" charset="0"/>
              </a:rPr>
              <a:t>previnovartis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(tudo minúsculo).</a:t>
            </a:r>
          </a:p>
          <a:p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56ADBCA-E9BC-4C76-8C62-1B58F90C45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tretch>
            <a:fillRect/>
          </a:stretch>
        </xdr:blipFill>
        <xdr:spPr>
          <a:xfrm>
            <a:off x="5686777" y="1664091"/>
            <a:ext cx="6448796" cy="2903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174625</xdr:rowOff>
    </xdr:from>
    <xdr:to>
      <xdr:col>2</xdr:col>
      <xdr:colOff>2686050</xdr:colOff>
      <xdr:row>3</xdr:row>
      <xdr:rowOff>57150</xdr:rowOff>
    </xdr:to>
    <xdr:pic>
      <xdr:nvPicPr>
        <xdr:cNvPr id="46" name="Imagem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4625"/>
          <a:ext cx="3051175" cy="441325"/>
        </a:xfrm>
        <a:prstGeom prst="rect">
          <a:avLst/>
        </a:prstGeom>
      </xdr:spPr>
    </xdr:pic>
    <xdr:clientData/>
  </xdr:twoCellAnchor>
  <xdr:oneCellAnchor>
    <xdr:from>
      <xdr:col>1</xdr:col>
      <xdr:colOff>116307</xdr:colOff>
      <xdr:row>4</xdr:row>
      <xdr:rowOff>134912</xdr:rowOff>
    </xdr:from>
    <xdr:ext cx="476926" cy="504882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6307" y="877862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1.</a:t>
          </a:r>
        </a:p>
      </xdr:txBody>
    </xdr:sp>
    <xdr:clientData/>
  </xdr:oneCellAnchor>
  <xdr:oneCellAnchor>
    <xdr:from>
      <xdr:col>1</xdr:col>
      <xdr:colOff>116307</xdr:colOff>
      <xdr:row>11</xdr:row>
      <xdr:rowOff>125387</xdr:rowOff>
    </xdr:from>
    <xdr:ext cx="476926" cy="504882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6307" y="2093887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2.</a:t>
          </a:r>
        </a:p>
      </xdr:txBody>
    </xdr:sp>
    <xdr:clientData/>
  </xdr:oneCellAnchor>
  <xdr:oneCellAnchor>
    <xdr:from>
      <xdr:col>1</xdr:col>
      <xdr:colOff>116307</xdr:colOff>
      <xdr:row>26</xdr:row>
      <xdr:rowOff>9713</xdr:rowOff>
    </xdr:from>
    <xdr:ext cx="476926" cy="504882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6307" y="4937313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3.</a:t>
          </a:r>
        </a:p>
      </xdr:txBody>
    </xdr:sp>
    <xdr:clientData/>
  </xdr:oneCellAnchor>
  <xdr:oneCellAnchor>
    <xdr:from>
      <xdr:col>1</xdr:col>
      <xdr:colOff>116307</xdr:colOff>
      <xdr:row>46</xdr:row>
      <xdr:rowOff>92263</xdr:rowOff>
    </xdr:from>
    <xdr:ext cx="476926" cy="504882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6307" y="8150413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4.</a:t>
          </a:r>
        </a:p>
      </xdr:txBody>
    </xdr:sp>
    <xdr:clientData/>
  </xdr:oneCellAnchor>
  <xdr:twoCellAnchor editAs="absolute">
    <xdr:from>
      <xdr:col>2</xdr:col>
      <xdr:colOff>9423400</xdr:colOff>
      <xdr:row>1</xdr:row>
      <xdr:rowOff>25400</xdr:rowOff>
    </xdr:from>
    <xdr:to>
      <xdr:col>2</xdr:col>
      <xdr:colOff>10611469</xdr:colOff>
      <xdr:row>3</xdr:row>
      <xdr:rowOff>6304</xdr:rowOff>
    </xdr:to>
    <xdr:pic>
      <xdr:nvPicPr>
        <xdr:cNvPr id="2" name="Picture 1" descr="Previ Novartis – Seu futuro é o nosso melhor presente">
          <a:extLst>
            <a:ext uri="{FF2B5EF4-FFF2-40B4-BE49-F238E27FC236}">
              <a16:creationId xmlns:a16="http://schemas.microsoft.com/office/drawing/2014/main" id="{717DA0E2-765A-4B48-AFCC-0F27A48D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00" y="2095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3</xdr:row>
      <xdr:rowOff>76200</xdr:rowOff>
    </xdr:from>
    <xdr:to>
      <xdr:col>2</xdr:col>
      <xdr:colOff>2559050</xdr:colOff>
      <xdr:row>4</xdr:row>
      <xdr:rowOff>6350</xdr:rowOff>
    </xdr:to>
    <xdr:grpSp>
      <xdr:nvGrpSpPr>
        <xdr:cNvPr id="7" name="Agrupar 88">
          <a:extLst>
            <a:ext uri="{FF2B5EF4-FFF2-40B4-BE49-F238E27FC236}">
              <a16:creationId xmlns:a16="http://schemas.microsoft.com/office/drawing/2014/main" id="{0BA9DB6B-9D92-4247-8606-4178492DA0AB}"/>
            </a:ext>
          </a:extLst>
        </xdr:cNvPr>
        <xdr:cNvGrpSpPr/>
      </xdr:nvGrpSpPr>
      <xdr:grpSpPr>
        <a:xfrm>
          <a:off x="342900" y="635000"/>
          <a:ext cx="2800350" cy="114300"/>
          <a:chOff x="52424" y="399206"/>
          <a:chExt cx="1648800" cy="108000"/>
        </a:xfrm>
        <a:solidFill>
          <a:schemeClr val="accent5">
            <a:lumMod val="75000"/>
          </a:schemeClr>
        </a:solidFill>
      </xdr:grpSpPr>
      <xdr:sp macro="" textlink="">
        <xdr:nvSpPr>
          <xdr:cNvPr id="8" name="Retângulo 13">
            <a:extLst>
              <a:ext uri="{FF2B5EF4-FFF2-40B4-BE49-F238E27FC236}">
                <a16:creationId xmlns:a16="http://schemas.microsoft.com/office/drawing/2014/main" id="{9D9043D1-A0A7-5AD4-7E6D-BF2C146E58F0}"/>
              </a:ext>
            </a:extLst>
          </xdr:cNvPr>
          <xdr:cNvSpPr/>
        </xdr:nvSpPr>
        <xdr:spPr>
          <a:xfrm rot="5400000">
            <a:off x="858824" y="-337477"/>
            <a:ext cx="36000" cy="16488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riângulo isósceles 14">
            <a:extLst>
              <a:ext uri="{FF2B5EF4-FFF2-40B4-BE49-F238E27FC236}">
                <a16:creationId xmlns:a16="http://schemas.microsoft.com/office/drawing/2014/main" id="{6193C8FF-3B9E-2AD1-7DBB-81B228B5FAA2}"/>
              </a:ext>
            </a:extLst>
          </xdr:cNvPr>
          <xdr:cNvSpPr/>
        </xdr:nvSpPr>
        <xdr:spPr>
          <a:xfrm>
            <a:off x="766021" y="399206"/>
            <a:ext cx="144000" cy="108000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1</xdr:col>
      <xdr:colOff>527050</xdr:colOff>
      <xdr:row>9</xdr:row>
      <xdr:rowOff>38100</xdr:rowOff>
    </xdr:from>
    <xdr:to>
      <xdr:col>2</xdr:col>
      <xdr:colOff>9817607</xdr:colOff>
      <xdr:row>11</xdr:row>
      <xdr:rowOff>88923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E17F38-1D67-F832-2715-8E442BB92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050" y="1612900"/>
          <a:ext cx="9874757" cy="444523"/>
        </a:xfrm>
        <a:prstGeom prst="rect">
          <a:avLst/>
        </a:prstGeom>
      </xdr:spPr>
    </xdr:pic>
    <xdr:clientData/>
  </xdr:twoCellAnchor>
  <xdr:twoCellAnchor>
    <xdr:from>
      <xdr:col>2</xdr:col>
      <xdr:colOff>736600</xdr:colOff>
      <xdr:row>7</xdr:row>
      <xdr:rowOff>120650</xdr:rowOff>
    </xdr:from>
    <xdr:to>
      <xdr:col>2</xdr:col>
      <xdr:colOff>736600</xdr:colOff>
      <xdr:row>9</xdr:row>
      <xdr:rowOff>25494</xdr:rowOff>
    </xdr:to>
    <xdr:cxnSp macro="">
      <xdr:nvCxnSpPr>
        <xdr:cNvPr id="4" name="Conector de Seta Reta 36">
          <a:extLst>
            <a:ext uri="{FF2B5EF4-FFF2-40B4-BE49-F238E27FC236}">
              <a16:creationId xmlns:a16="http://schemas.microsoft.com/office/drawing/2014/main" id="{637FCE2B-4811-4469-BB1F-60BB9E75FF69}"/>
            </a:ext>
          </a:extLst>
        </xdr:cNvPr>
        <xdr:cNvCxnSpPr/>
      </xdr:nvCxnSpPr>
      <xdr:spPr>
        <a:xfrm>
          <a:off x="1320800" y="1377950"/>
          <a:ext cx="0" cy="222344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568325</xdr:colOff>
      <xdr:row>15</xdr:row>
      <xdr:rowOff>12700</xdr:rowOff>
    </xdr:from>
    <xdr:to>
      <xdr:col>2</xdr:col>
      <xdr:colOff>6907609</xdr:colOff>
      <xdr:row>24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331D52-CAAE-B8C0-E851-BE3FA229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8325" y="2730500"/>
          <a:ext cx="6923484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29</xdr:row>
      <xdr:rowOff>76200</xdr:rowOff>
    </xdr:from>
    <xdr:to>
      <xdr:col>2</xdr:col>
      <xdr:colOff>9849361</xdr:colOff>
      <xdr:row>31</xdr:row>
      <xdr:rowOff>171474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B27EBF-D535-0449-D946-1EA4F0A7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2600" y="5556250"/>
          <a:ext cx="9950961" cy="463574"/>
        </a:xfrm>
        <a:prstGeom prst="rect">
          <a:avLst/>
        </a:prstGeom>
      </xdr:spPr>
    </xdr:pic>
    <xdr:clientData/>
  </xdr:twoCellAnchor>
  <xdr:twoCellAnchor editAs="absolute">
    <xdr:from>
      <xdr:col>2</xdr:col>
      <xdr:colOff>2162175</xdr:colOff>
      <xdr:row>28</xdr:row>
      <xdr:rowOff>69848</xdr:rowOff>
    </xdr:from>
    <xdr:to>
      <xdr:col>2</xdr:col>
      <xdr:colOff>2162175</xdr:colOff>
      <xdr:row>29</xdr:row>
      <xdr:rowOff>108041</xdr:rowOff>
    </xdr:to>
    <xdr:cxnSp macro="">
      <xdr:nvCxnSpPr>
        <xdr:cNvPr id="37" name="Conector de Seta Reta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2746375" y="5181598"/>
          <a:ext cx="0" cy="222343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469900</xdr:colOff>
      <xdr:row>33</xdr:row>
      <xdr:rowOff>12700</xdr:rowOff>
    </xdr:from>
    <xdr:to>
      <xdr:col>2</xdr:col>
      <xdr:colOff>9811260</xdr:colOff>
      <xdr:row>35</xdr:row>
      <xdr:rowOff>107974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13DBA1-F6B2-2F03-4141-0C8EDF81F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9900" y="6229350"/>
          <a:ext cx="9925560" cy="463574"/>
        </a:xfrm>
        <a:prstGeom prst="rect">
          <a:avLst/>
        </a:prstGeom>
      </xdr:spPr>
    </xdr:pic>
    <xdr:clientData/>
  </xdr:twoCellAnchor>
  <xdr:twoCellAnchor editAs="absolute">
    <xdr:from>
      <xdr:col>2</xdr:col>
      <xdr:colOff>3502025</xdr:colOff>
      <xdr:row>32</xdr:row>
      <xdr:rowOff>25398</xdr:rowOff>
    </xdr:from>
    <xdr:to>
      <xdr:col>2</xdr:col>
      <xdr:colOff>3502025</xdr:colOff>
      <xdr:row>33</xdr:row>
      <xdr:rowOff>63591</xdr:rowOff>
    </xdr:to>
    <xdr:cxnSp macro="">
      <xdr:nvCxnSpPr>
        <xdr:cNvPr id="12" name="Conector de Seta Reta 36">
          <a:extLst>
            <a:ext uri="{FF2B5EF4-FFF2-40B4-BE49-F238E27FC236}">
              <a16:creationId xmlns:a16="http://schemas.microsoft.com/office/drawing/2014/main" id="{00BE2364-52C2-4CCB-9876-4ABF1927B175}"/>
            </a:ext>
          </a:extLst>
        </xdr:cNvPr>
        <xdr:cNvCxnSpPr/>
      </xdr:nvCxnSpPr>
      <xdr:spPr>
        <a:xfrm>
          <a:off x="4086225" y="5873748"/>
          <a:ext cx="0" cy="222343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4902200</xdr:colOff>
      <xdr:row>36</xdr:row>
      <xdr:rowOff>25400</xdr:rowOff>
    </xdr:from>
    <xdr:to>
      <xdr:col>2</xdr:col>
      <xdr:colOff>10433334</xdr:colOff>
      <xdr:row>45</xdr:row>
      <xdr:rowOff>69937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D05AD7F-E00F-602E-3A5A-8E5017A91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6610350"/>
          <a:ext cx="5531134" cy="1701887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36</xdr:row>
      <xdr:rowOff>38100</xdr:rowOff>
    </xdr:from>
    <xdr:to>
      <xdr:col>2</xdr:col>
      <xdr:colOff>4768850</xdr:colOff>
      <xdr:row>45</xdr:row>
      <xdr:rowOff>172592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B7D7B26-24ED-605C-2523-68B0AF4F3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7411"/>
        <a:stretch>
          <a:fillRect/>
        </a:stretch>
      </xdr:blipFill>
      <xdr:spPr>
        <a:xfrm>
          <a:off x="457200" y="6623050"/>
          <a:ext cx="4895850" cy="1791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1</xdr:row>
      <xdr:rowOff>57150</xdr:rowOff>
    </xdr:from>
    <xdr:to>
      <xdr:col>1</xdr:col>
      <xdr:colOff>1378569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800A3-FA83-422B-9358-86DF89E3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3</xdr:row>
      <xdr:rowOff>126954</xdr:rowOff>
    </xdr:from>
    <xdr:to>
      <xdr:col>1</xdr:col>
      <xdr:colOff>1643700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0B1EEFF1-9A3E-47E9-8825-30F24768480C}"/>
            </a:ext>
          </a:extLst>
        </xdr:cNvPr>
        <xdr:cNvSpPr/>
      </xdr:nvSpPr>
      <xdr:spPr>
        <a:xfrm>
          <a:off x="3619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2082800</xdr:colOff>
      <xdr:row>0</xdr:row>
      <xdr:rowOff>95250</xdr:rowOff>
    </xdr:from>
    <xdr:to>
      <xdr:col>3</xdr:col>
      <xdr:colOff>393700</xdr:colOff>
      <xdr:row>3</xdr:row>
      <xdr:rowOff>88900</xdr:rowOff>
    </xdr:to>
    <xdr:grpSp>
      <xdr:nvGrpSpPr>
        <xdr:cNvPr id="60" name="Group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6C4F47-6544-7923-F4F0-A46586F9F13B}"/>
            </a:ext>
          </a:extLst>
        </xdr:cNvPr>
        <xdr:cNvGrpSpPr/>
      </xdr:nvGrpSpPr>
      <xdr:grpSpPr>
        <a:xfrm>
          <a:off x="2406650" y="95250"/>
          <a:ext cx="1911350" cy="552450"/>
          <a:chOff x="2406650" y="95250"/>
          <a:chExt cx="1911350" cy="552450"/>
        </a:xfrm>
      </xdr:grpSpPr>
      <xdr:sp macro="" textlink="">
        <xdr:nvSpPr>
          <xdr:cNvPr id="2" name="Rectangl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B54DD73-F5A3-8495-DB7A-C3D1581AF8F4}"/>
              </a:ext>
            </a:extLst>
          </xdr:cNvPr>
          <xdr:cNvSpPr/>
        </xdr:nvSpPr>
        <xdr:spPr>
          <a:xfrm>
            <a:off x="2406650" y="15875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6" name="Graphic 5" descr="Badge Follow with solid fill">
            <a:extLst>
              <a:ext uri="{FF2B5EF4-FFF2-40B4-BE49-F238E27FC236}">
                <a16:creationId xmlns:a16="http://schemas.microsoft.com/office/drawing/2014/main" id="{0D76BFA3-B074-D902-9812-1A7E6D518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57450" y="222250"/>
            <a:ext cx="317500" cy="317500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E398F8-5546-B102-3B8C-B08541727D21}"/>
              </a:ext>
            </a:extLst>
          </xdr:cNvPr>
          <xdr:cNvSpPr txBox="1"/>
        </xdr:nvSpPr>
        <xdr:spPr>
          <a:xfrm>
            <a:off x="2660650" y="9525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482600</xdr:colOff>
      <xdr:row>0</xdr:row>
      <xdr:rowOff>120650</xdr:rowOff>
    </xdr:from>
    <xdr:to>
      <xdr:col>5</xdr:col>
      <xdr:colOff>666750</xdr:colOff>
      <xdr:row>3</xdr:row>
      <xdr:rowOff>69850</xdr:rowOff>
    </xdr:to>
    <xdr:grpSp>
      <xdr:nvGrpSpPr>
        <xdr:cNvPr id="61" name="Group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422C60-2D24-27E9-E153-A4B9A7AEEA6C}"/>
            </a:ext>
          </a:extLst>
        </xdr:cNvPr>
        <xdr:cNvGrpSpPr/>
      </xdr:nvGrpSpPr>
      <xdr:grpSpPr>
        <a:xfrm>
          <a:off x="4406900" y="120650"/>
          <a:ext cx="1911350" cy="508000"/>
          <a:chOff x="4406900" y="120650"/>
          <a:chExt cx="1911350" cy="508000"/>
        </a:xfrm>
      </xdr:grpSpPr>
      <xdr:sp macro="" textlink="">
        <xdr:nvSpPr>
          <xdr:cNvPr id="15" name="Rectangle 1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0BB94AF-ACC9-482B-BC19-2094D862BDCA}"/>
              </a:ext>
            </a:extLst>
          </xdr:cNvPr>
          <xdr:cNvSpPr/>
        </xdr:nvSpPr>
        <xdr:spPr>
          <a:xfrm>
            <a:off x="44069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7525B22-BEF2-43F5-B36C-425207FD7456}"/>
              </a:ext>
            </a:extLst>
          </xdr:cNvPr>
          <xdr:cNvSpPr txBox="1"/>
        </xdr:nvSpPr>
        <xdr:spPr>
          <a:xfrm>
            <a:off x="4686300" y="12065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9" name="Graphic 18" descr="Badge Unfollow with solid fill">
            <a:extLst>
              <a:ext uri="{FF2B5EF4-FFF2-40B4-BE49-F238E27FC236}">
                <a16:creationId xmlns:a16="http://schemas.microsoft.com/office/drawing/2014/main" id="{D01CE4BD-A26D-2936-F27E-25090EB825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76750" y="22225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755650</xdr:colOff>
      <xdr:row>0</xdr:row>
      <xdr:rowOff>101600</xdr:rowOff>
    </xdr:from>
    <xdr:to>
      <xdr:col>8</xdr:col>
      <xdr:colOff>76200</xdr:colOff>
      <xdr:row>3</xdr:row>
      <xdr:rowOff>76200</xdr:rowOff>
    </xdr:to>
    <xdr:grpSp>
      <xdr:nvGrpSpPr>
        <xdr:cNvPr id="62" name="Group 6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87525A-FAC2-2BD8-3B7B-496B19A39EA2}"/>
            </a:ext>
          </a:extLst>
        </xdr:cNvPr>
        <xdr:cNvGrpSpPr/>
      </xdr:nvGrpSpPr>
      <xdr:grpSpPr>
        <a:xfrm>
          <a:off x="6407150" y="101600"/>
          <a:ext cx="1911350" cy="533400"/>
          <a:chOff x="6407150" y="101600"/>
          <a:chExt cx="1911350" cy="533400"/>
        </a:xfrm>
      </xdr:grpSpPr>
      <xdr:sp macro="" textlink="">
        <xdr:nvSpPr>
          <xdr:cNvPr id="20" name="Rectangle 1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AEC48F-0F76-4838-AA53-9710B60EF0FF}"/>
              </a:ext>
            </a:extLst>
          </xdr:cNvPr>
          <xdr:cNvSpPr/>
        </xdr:nvSpPr>
        <xdr:spPr>
          <a:xfrm>
            <a:off x="64071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C6F3FC61-9201-48DB-85B1-F4B7A981AD66}"/>
              </a:ext>
            </a:extLst>
          </xdr:cNvPr>
          <xdr:cNvSpPr txBox="1"/>
        </xdr:nvSpPr>
        <xdr:spPr>
          <a:xfrm>
            <a:off x="66802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6" name="Graphic 25" descr="Pie chart with solid fill">
            <a:extLst>
              <a:ext uri="{FF2B5EF4-FFF2-40B4-BE49-F238E27FC236}">
                <a16:creationId xmlns:a16="http://schemas.microsoft.com/office/drawing/2014/main" id="{75C6E698-BB25-9FC9-EB4F-3FD96C1755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77000" y="21590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171450</xdr:colOff>
      <xdr:row>0</xdr:row>
      <xdr:rowOff>101600</xdr:rowOff>
    </xdr:from>
    <xdr:to>
      <xdr:col>10</xdr:col>
      <xdr:colOff>355600</xdr:colOff>
      <xdr:row>3</xdr:row>
      <xdr:rowOff>76200</xdr:rowOff>
    </xdr:to>
    <xdr:grpSp>
      <xdr:nvGrpSpPr>
        <xdr:cNvPr id="63" name="Group 6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F1CC386-F41F-BB72-4110-0785C75EE652}"/>
            </a:ext>
          </a:extLst>
        </xdr:cNvPr>
        <xdr:cNvGrpSpPr/>
      </xdr:nvGrpSpPr>
      <xdr:grpSpPr>
        <a:xfrm>
          <a:off x="8413750" y="101600"/>
          <a:ext cx="1911350" cy="533400"/>
          <a:chOff x="8413750" y="101600"/>
          <a:chExt cx="1911350" cy="533400"/>
        </a:xfrm>
      </xdr:grpSpPr>
      <xdr:sp macro="" textlink="">
        <xdr:nvSpPr>
          <xdr:cNvPr id="29" name="Rectangle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CD2328-680E-4377-9DDE-21C8A2523278}"/>
              </a:ext>
            </a:extLst>
          </xdr:cNvPr>
          <xdr:cNvSpPr/>
        </xdr:nvSpPr>
        <xdr:spPr>
          <a:xfrm>
            <a:off x="84137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24A295DD-D0D7-4856-A56C-1F3C5C3AC68D}"/>
              </a:ext>
            </a:extLst>
          </xdr:cNvPr>
          <xdr:cNvSpPr txBox="1"/>
        </xdr:nvSpPr>
        <xdr:spPr>
          <a:xfrm>
            <a:off x="86868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3" name="Graphic 32" descr="Gauge with solid fill">
            <a:extLst>
              <a:ext uri="{FF2B5EF4-FFF2-40B4-BE49-F238E27FC236}">
                <a16:creationId xmlns:a16="http://schemas.microsoft.com/office/drawing/2014/main" id="{FBC98481-8FF0-DF7F-0D4B-6C4B17125C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28050" y="18415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444500</xdr:colOff>
      <xdr:row>0</xdr:row>
      <xdr:rowOff>101600</xdr:rowOff>
    </xdr:from>
    <xdr:to>
      <xdr:col>12</xdr:col>
      <xdr:colOff>628650</xdr:colOff>
      <xdr:row>3</xdr:row>
      <xdr:rowOff>76200</xdr:rowOff>
    </xdr:to>
    <xdr:grpSp>
      <xdr:nvGrpSpPr>
        <xdr:cNvPr id="64" name="Group 6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3E74ABF-3BF6-804E-7B6D-3FA5AD7DE64E}"/>
            </a:ext>
          </a:extLst>
        </xdr:cNvPr>
        <xdr:cNvGrpSpPr/>
      </xdr:nvGrpSpPr>
      <xdr:grpSpPr>
        <a:xfrm>
          <a:off x="10414000" y="101600"/>
          <a:ext cx="1911350" cy="533400"/>
          <a:chOff x="10414000" y="101600"/>
          <a:chExt cx="1911350" cy="533400"/>
        </a:xfrm>
      </xdr:grpSpPr>
      <xdr:sp macro="" textlink="">
        <xdr:nvSpPr>
          <xdr:cNvPr id="34" name="Rectangle 33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FF95913D-2A48-4A45-A7CF-5DB418E67569}"/>
              </a:ext>
            </a:extLst>
          </xdr:cNvPr>
          <xdr:cNvSpPr/>
        </xdr:nvSpPr>
        <xdr:spPr>
          <a:xfrm>
            <a:off x="104140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564A1D7-A56E-4FFC-917F-5FA892355363}"/>
              </a:ext>
            </a:extLst>
          </xdr:cNvPr>
          <xdr:cNvSpPr txBox="1"/>
        </xdr:nvSpPr>
        <xdr:spPr>
          <a:xfrm>
            <a:off x="1068705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8" name="Graphic 37" descr="Daily calendar with solid fill">
            <a:extLst>
              <a:ext uri="{FF2B5EF4-FFF2-40B4-BE49-F238E27FC236}">
                <a16:creationId xmlns:a16="http://schemas.microsoft.com/office/drawing/2014/main" id="{6F1EBA48-1CF5-87A5-9FAD-FD568BB44B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490200" y="20320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717550</xdr:colOff>
      <xdr:row>0</xdr:row>
      <xdr:rowOff>101600</xdr:rowOff>
    </xdr:from>
    <xdr:to>
      <xdr:col>15</xdr:col>
      <xdr:colOff>38100</xdr:colOff>
      <xdr:row>3</xdr:row>
      <xdr:rowOff>76200</xdr:rowOff>
    </xdr:to>
    <xdr:grpSp>
      <xdr:nvGrpSpPr>
        <xdr:cNvPr id="66" name="Group 6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CA8A6FD-A02A-128F-B50E-8ABB1B1954BF}"/>
            </a:ext>
          </a:extLst>
        </xdr:cNvPr>
        <xdr:cNvGrpSpPr/>
      </xdr:nvGrpSpPr>
      <xdr:grpSpPr>
        <a:xfrm>
          <a:off x="12414250" y="101600"/>
          <a:ext cx="1911350" cy="533400"/>
          <a:chOff x="12414250" y="101600"/>
          <a:chExt cx="1911350" cy="533400"/>
        </a:xfrm>
      </xdr:grpSpPr>
      <xdr:sp macro="" textlink="">
        <xdr:nvSpPr>
          <xdr:cNvPr id="39" name="Rectangle 3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120666C3-5DD1-410F-8087-4FBFCB1BE020}"/>
              </a:ext>
            </a:extLst>
          </xdr:cNvPr>
          <xdr:cNvSpPr/>
        </xdr:nvSpPr>
        <xdr:spPr>
          <a:xfrm>
            <a:off x="124142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BA3A4430-BF9F-4AB2-81BB-0BA108D47A01}"/>
              </a:ext>
            </a:extLst>
          </xdr:cNvPr>
          <xdr:cNvSpPr txBox="1"/>
        </xdr:nvSpPr>
        <xdr:spPr>
          <a:xfrm>
            <a:off x="126873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1906298A-06CC-1A2D-C2E2-F54D5BFE7CCE}"/>
              </a:ext>
            </a:extLst>
          </xdr:cNvPr>
          <xdr:cNvGrpSpPr/>
        </xdr:nvGrpSpPr>
        <xdr:grpSpPr>
          <a:xfrm>
            <a:off x="12503150" y="20955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46" name="Graphic 45" descr="Magnifying glass with solid fill">
              <a:extLst>
                <a:ext uri="{FF2B5EF4-FFF2-40B4-BE49-F238E27FC236}">
                  <a16:creationId xmlns:a16="http://schemas.microsoft.com/office/drawing/2014/main" id="{DA301EB3-8E69-84C8-4861-B3419ABC3F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48" name="Graphic 47" descr="Add outline">
              <a:extLst>
                <a:ext uri="{FF2B5EF4-FFF2-40B4-BE49-F238E27FC236}">
                  <a16:creationId xmlns:a16="http://schemas.microsoft.com/office/drawing/2014/main" id="{887DF467-F998-779C-3071-C7573F0DA0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133350</xdr:colOff>
      <xdr:row>0</xdr:row>
      <xdr:rowOff>101600</xdr:rowOff>
    </xdr:from>
    <xdr:to>
      <xdr:col>17</xdr:col>
      <xdr:colOff>254000</xdr:colOff>
      <xdr:row>3</xdr:row>
      <xdr:rowOff>76200</xdr:rowOff>
    </xdr:to>
    <xdr:grpSp>
      <xdr:nvGrpSpPr>
        <xdr:cNvPr id="67" name="Group 6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0E4E946-D37A-2E1A-F9B1-3D9C6E9AC4E6}"/>
            </a:ext>
          </a:extLst>
        </xdr:cNvPr>
        <xdr:cNvGrpSpPr/>
      </xdr:nvGrpSpPr>
      <xdr:grpSpPr>
        <a:xfrm>
          <a:off x="14420850" y="101600"/>
          <a:ext cx="1911350" cy="533400"/>
          <a:chOff x="14420850" y="101600"/>
          <a:chExt cx="1911350" cy="533400"/>
        </a:xfrm>
      </xdr:grpSpPr>
      <xdr:sp macro="" textlink="">
        <xdr:nvSpPr>
          <xdr:cNvPr id="42" name="Rectangle 41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DBF7D734-01E4-4764-9D59-8573E43F0777}"/>
              </a:ext>
            </a:extLst>
          </xdr:cNvPr>
          <xdr:cNvSpPr/>
        </xdr:nvSpPr>
        <xdr:spPr>
          <a:xfrm>
            <a:off x="144208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8775CEE3-4392-4F51-B3AF-C1DF311D0A3C}"/>
              </a:ext>
            </a:extLst>
          </xdr:cNvPr>
          <xdr:cNvSpPr txBox="1"/>
        </xdr:nvSpPr>
        <xdr:spPr>
          <a:xfrm>
            <a:off x="146939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6158505E-2FFA-B12A-5134-AE07D507644A}"/>
              </a:ext>
            </a:extLst>
          </xdr:cNvPr>
          <xdr:cNvGrpSpPr/>
        </xdr:nvGrpSpPr>
        <xdr:grpSpPr>
          <a:xfrm>
            <a:off x="14522450" y="21590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51" name="Graphic 50" descr="Magnifying glass with solid fill">
              <a:extLst>
                <a:ext uri="{FF2B5EF4-FFF2-40B4-BE49-F238E27FC236}">
                  <a16:creationId xmlns:a16="http://schemas.microsoft.com/office/drawing/2014/main" id="{876D528F-32AC-2BBE-D46A-03CADE3C1D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54" name="Graphic 53" descr="Badge Unfollow outline">
              <a:extLst>
                <a:ext uri="{FF2B5EF4-FFF2-40B4-BE49-F238E27FC236}">
                  <a16:creationId xmlns:a16="http://schemas.microsoft.com/office/drawing/2014/main" id="{61E88B44-E405-4C6E-4452-E2F1A378BF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57150</xdr:rowOff>
    </xdr:from>
    <xdr:to>
      <xdr:col>1</xdr:col>
      <xdr:colOff>1372219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08A84-6797-4C10-9B80-0CF4AAB8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31750</xdr:colOff>
      <xdr:row>3</xdr:row>
      <xdr:rowOff>126954</xdr:rowOff>
    </xdr:from>
    <xdr:to>
      <xdr:col>1</xdr:col>
      <xdr:colOff>1637350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05B85BE9-E592-41D4-9FC3-1CAE0600750B}"/>
            </a:ext>
          </a:extLst>
        </xdr:cNvPr>
        <xdr:cNvSpPr/>
      </xdr:nvSpPr>
      <xdr:spPr>
        <a:xfrm>
          <a:off x="35560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2082800</xdr:colOff>
      <xdr:row>0</xdr:row>
      <xdr:rowOff>95250</xdr:rowOff>
    </xdr:from>
    <xdr:to>
      <xdr:col>3</xdr:col>
      <xdr:colOff>393700</xdr:colOff>
      <xdr:row>3</xdr:row>
      <xdr:rowOff>88900</xdr:rowOff>
    </xdr:to>
    <xdr:grpSp>
      <xdr:nvGrpSpPr>
        <xdr:cNvPr id="29" name="Group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D75A7D-3EB5-3FBE-4F35-C5567CBB8261}"/>
            </a:ext>
          </a:extLst>
        </xdr:cNvPr>
        <xdr:cNvGrpSpPr/>
      </xdr:nvGrpSpPr>
      <xdr:grpSpPr>
        <a:xfrm>
          <a:off x="2406650" y="95250"/>
          <a:ext cx="1911350" cy="552450"/>
          <a:chOff x="2406650" y="95250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58487431-80D8-414B-A4D8-AD1B0D98FF4C}"/>
              </a:ext>
            </a:extLst>
          </xdr:cNvPr>
          <xdr:cNvSpPr/>
        </xdr:nvSpPr>
        <xdr:spPr>
          <a:xfrm>
            <a:off x="2406650" y="15875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FF5A2F56-5BCA-4793-BFED-F0BC3CA4C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57450" y="222250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375C24A-E606-427A-9BD0-A65FD7489E3E}"/>
              </a:ext>
            </a:extLst>
          </xdr:cNvPr>
          <xdr:cNvSpPr txBox="1"/>
        </xdr:nvSpPr>
        <xdr:spPr>
          <a:xfrm>
            <a:off x="2660650" y="9525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482600</xdr:colOff>
      <xdr:row>0</xdr:row>
      <xdr:rowOff>120650</xdr:rowOff>
    </xdr:from>
    <xdr:to>
      <xdr:col>5</xdr:col>
      <xdr:colOff>666750</xdr:colOff>
      <xdr:row>3</xdr:row>
      <xdr:rowOff>69850</xdr:rowOff>
    </xdr:to>
    <xdr:grpSp>
      <xdr:nvGrpSpPr>
        <xdr:cNvPr id="30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860259C-4D17-0773-D0FE-B573785467CE}"/>
            </a:ext>
          </a:extLst>
        </xdr:cNvPr>
        <xdr:cNvGrpSpPr/>
      </xdr:nvGrpSpPr>
      <xdr:grpSpPr>
        <a:xfrm>
          <a:off x="4406900" y="120650"/>
          <a:ext cx="1911350" cy="508000"/>
          <a:chOff x="4406900" y="120650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6BC29DE-9FC5-4ED5-A93A-CBE11B3933C0}"/>
              </a:ext>
            </a:extLst>
          </xdr:cNvPr>
          <xdr:cNvSpPr/>
        </xdr:nvSpPr>
        <xdr:spPr>
          <a:xfrm>
            <a:off x="4406900" y="15875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00DA105-04D4-4BDC-8735-B4D369074F9B}"/>
              </a:ext>
            </a:extLst>
          </xdr:cNvPr>
          <xdr:cNvSpPr txBox="1"/>
        </xdr:nvSpPr>
        <xdr:spPr>
          <a:xfrm>
            <a:off x="4686300" y="12065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E3970A3-1FA0-40A6-AD14-AE0071A819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76750" y="22225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755650</xdr:colOff>
      <xdr:row>0</xdr:row>
      <xdr:rowOff>101600</xdr:rowOff>
    </xdr:from>
    <xdr:to>
      <xdr:col>8</xdr:col>
      <xdr:colOff>76200</xdr:colOff>
      <xdr:row>3</xdr:row>
      <xdr:rowOff>76200</xdr:rowOff>
    </xdr:to>
    <xdr:grpSp>
      <xdr:nvGrpSpPr>
        <xdr:cNvPr id="31" name="Group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F2CB83C-E617-7084-EBC5-E669A3E37373}"/>
            </a:ext>
          </a:extLst>
        </xdr:cNvPr>
        <xdr:cNvGrpSpPr/>
      </xdr:nvGrpSpPr>
      <xdr:grpSpPr>
        <a:xfrm>
          <a:off x="6407150" y="101600"/>
          <a:ext cx="1911350" cy="533400"/>
          <a:chOff x="6407150" y="101600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0CEA5D6-057F-48B0-A676-E4B4EC0ACA39}"/>
              </a:ext>
            </a:extLst>
          </xdr:cNvPr>
          <xdr:cNvSpPr/>
        </xdr:nvSpPr>
        <xdr:spPr>
          <a:xfrm>
            <a:off x="64071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255ECEA-30A2-4E7A-901A-4220C43FD71D}"/>
              </a:ext>
            </a:extLst>
          </xdr:cNvPr>
          <xdr:cNvSpPr txBox="1"/>
        </xdr:nvSpPr>
        <xdr:spPr>
          <a:xfrm>
            <a:off x="66802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E33DE4D7-8A82-45AB-8FA0-0C5C3FCBDB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77000" y="21590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171450</xdr:colOff>
      <xdr:row>0</xdr:row>
      <xdr:rowOff>101600</xdr:rowOff>
    </xdr:from>
    <xdr:to>
      <xdr:col>10</xdr:col>
      <xdr:colOff>355600</xdr:colOff>
      <xdr:row>3</xdr:row>
      <xdr:rowOff>76200</xdr:rowOff>
    </xdr:to>
    <xdr:grpSp>
      <xdr:nvGrpSpPr>
        <xdr:cNvPr id="32" name="Group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189412C-8FE4-C83A-9AE5-20008F78248D}"/>
            </a:ext>
          </a:extLst>
        </xdr:cNvPr>
        <xdr:cNvGrpSpPr/>
      </xdr:nvGrpSpPr>
      <xdr:grpSpPr>
        <a:xfrm>
          <a:off x="8413750" y="101600"/>
          <a:ext cx="1911350" cy="533400"/>
          <a:chOff x="8413750" y="101600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2134457-1F56-4499-994C-61ED6D9DD5FE}"/>
              </a:ext>
            </a:extLst>
          </xdr:cNvPr>
          <xdr:cNvSpPr/>
        </xdr:nvSpPr>
        <xdr:spPr>
          <a:xfrm>
            <a:off x="84137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C83F64E-6A2A-4E27-9920-6FF4F843E5AA}"/>
              </a:ext>
            </a:extLst>
          </xdr:cNvPr>
          <xdr:cNvSpPr txBox="1"/>
        </xdr:nvSpPr>
        <xdr:spPr>
          <a:xfrm>
            <a:off x="86868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71C6195B-C703-4C36-859C-D4FA4E6B00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28050" y="18415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444500</xdr:colOff>
      <xdr:row>0</xdr:row>
      <xdr:rowOff>101600</xdr:rowOff>
    </xdr:from>
    <xdr:to>
      <xdr:col>12</xdr:col>
      <xdr:colOff>628650</xdr:colOff>
      <xdr:row>3</xdr:row>
      <xdr:rowOff>76200</xdr:rowOff>
    </xdr:to>
    <xdr:grpSp>
      <xdr:nvGrpSpPr>
        <xdr:cNvPr id="33" name="Group 3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BCCBDA0-9038-947A-6A93-6B0CF54D8C69}"/>
            </a:ext>
          </a:extLst>
        </xdr:cNvPr>
        <xdr:cNvGrpSpPr/>
      </xdr:nvGrpSpPr>
      <xdr:grpSpPr>
        <a:xfrm>
          <a:off x="10414000" y="101600"/>
          <a:ext cx="1911350" cy="533400"/>
          <a:chOff x="10414000" y="10160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9CF7520-E7F6-41EA-900D-0C3CEC134206}"/>
              </a:ext>
            </a:extLst>
          </xdr:cNvPr>
          <xdr:cNvSpPr/>
        </xdr:nvSpPr>
        <xdr:spPr>
          <a:xfrm>
            <a:off x="104140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EF7A042-9112-4829-83CD-ED0993DE5280}"/>
              </a:ext>
            </a:extLst>
          </xdr:cNvPr>
          <xdr:cNvSpPr txBox="1"/>
        </xdr:nvSpPr>
        <xdr:spPr>
          <a:xfrm>
            <a:off x="1068705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5B53FA84-03D6-4655-8B61-5DC65F99F7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490200" y="20320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717550</xdr:colOff>
      <xdr:row>0</xdr:row>
      <xdr:rowOff>101600</xdr:rowOff>
    </xdr:from>
    <xdr:to>
      <xdr:col>15</xdr:col>
      <xdr:colOff>38100</xdr:colOff>
      <xdr:row>3</xdr:row>
      <xdr:rowOff>76200</xdr:rowOff>
    </xdr:to>
    <xdr:grpSp>
      <xdr:nvGrpSpPr>
        <xdr:cNvPr id="34" name="Group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F9911C5-31FF-C973-2128-B18F35BAE6CB}"/>
            </a:ext>
          </a:extLst>
        </xdr:cNvPr>
        <xdr:cNvGrpSpPr/>
      </xdr:nvGrpSpPr>
      <xdr:grpSpPr>
        <a:xfrm>
          <a:off x="12414250" y="101600"/>
          <a:ext cx="1911350" cy="533400"/>
          <a:chOff x="12414250" y="10160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2013B692-F305-4623-88B8-F06C3E318F54}"/>
              </a:ext>
            </a:extLst>
          </xdr:cNvPr>
          <xdr:cNvSpPr/>
        </xdr:nvSpPr>
        <xdr:spPr>
          <a:xfrm>
            <a:off x="124142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6C2EB2EE-544C-40C7-B677-753C220E9AE0}"/>
              </a:ext>
            </a:extLst>
          </xdr:cNvPr>
          <xdr:cNvSpPr txBox="1"/>
        </xdr:nvSpPr>
        <xdr:spPr>
          <a:xfrm>
            <a:off x="126873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69A704B6-5ABD-4913-AAA1-5160719131BD}"/>
              </a:ext>
            </a:extLst>
          </xdr:cNvPr>
          <xdr:cNvGrpSpPr/>
        </xdr:nvGrpSpPr>
        <xdr:grpSpPr>
          <a:xfrm>
            <a:off x="12503150" y="20955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4" name="Graphic 23" descr="Magnifying glass with solid fill">
              <a:extLst>
                <a:ext uri="{FF2B5EF4-FFF2-40B4-BE49-F238E27FC236}">
                  <a16:creationId xmlns:a16="http://schemas.microsoft.com/office/drawing/2014/main" id="{F12D60FA-4361-CEB1-975A-CB65E5AE45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5" name="Graphic 24" descr="Add outline">
              <a:extLst>
                <a:ext uri="{FF2B5EF4-FFF2-40B4-BE49-F238E27FC236}">
                  <a16:creationId xmlns:a16="http://schemas.microsoft.com/office/drawing/2014/main" id="{DE6BF723-992E-FB54-ABB0-B7979C41D3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133350</xdr:colOff>
      <xdr:row>0</xdr:row>
      <xdr:rowOff>101600</xdr:rowOff>
    </xdr:from>
    <xdr:to>
      <xdr:col>17</xdr:col>
      <xdr:colOff>254000</xdr:colOff>
      <xdr:row>3</xdr:row>
      <xdr:rowOff>76200</xdr:rowOff>
    </xdr:to>
    <xdr:grpSp>
      <xdr:nvGrpSpPr>
        <xdr:cNvPr id="35" name="Group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36E4558-9CB9-F836-35E2-ACD3C7F0A1B4}"/>
            </a:ext>
          </a:extLst>
        </xdr:cNvPr>
        <xdr:cNvGrpSpPr/>
      </xdr:nvGrpSpPr>
      <xdr:grpSpPr>
        <a:xfrm>
          <a:off x="14420850" y="101600"/>
          <a:ext cx="1911350" cy="533400"/>
          <a:chOff x="14420850" y="101600"/>
          <a:chExt cx="1911350" cy="5334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CEFB1DA-03A8-4209-B300-EF347CA4EA13}"/>
              </a:ext>
            </a:extLst>
          </xdr:cNvPr>
          <xdr:cNvSpPr/>
        </xdr:nvSpPr>
        <xdr:spPr>
          <a:xfrm>
            <a:off x="144208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1768EB2F-6DB6-452F-8C9E-7362C4154062}"/>
              </a:ext>
            </a:extLst>
          </xdr:cNvPr>
          <xdr:cNvSpPr txBox="1"/>
        </xdr:nvSpPr>
        <xdr:spPr>
          <a:xfrm>
            <a:off x="146939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DB330431-9144-465B-9DDB-084A038E6450}"/>
              </a:ext>
            </a:extLst>
          </xdr:cNvPr>
          <xdr:cNvGrpSpPr/>
        </xdr:nvGrpSpPr>
        <xdr:grpSpPr>
          <a:xfrm>
            <a:off x="14522450" y="21590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7" name="Graphic 26" descr="Magnifying glass with solid fill">
              <a:extLst>
                <a:ext uri="{FF2B5EF4-FFF2-40B4-BE49-F238E27FC236}">
                  <a16:creationId xmlns:a16="http://schemas.microsoft.com/office/drawing/2014/main" id="{289792C6-C59C-A044-015D-804F6EC4BD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28" name="Graphic 27" descr="Badge Unfollow outline">
              <a:extLst>
                <a:ext uri="{FF2B5EF4-FFF2-40B4-BE49-F238E27FC236}">
                  <a16:creationId xmlns:a16="http://schemas.microsoft.com/office/drawing/2014/main" id="{5DB86AC2-534B-143A-DD0B-7CA994D964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1</xdr:row>
      <xdr:rowOff>57150</xdr:rowOff>
    </xdr:from>
    <xdr:to>
      <xdr:col>1</xdr:col>
      <xdr:colOff>1378569</xdr:colOff>
      <xdr:row>3</xdr:row>
      <xdr:rowOff>38054</xdr:rowOff>
    </xdr:to>
    <xdr:pic>
      <xdr:nvPicPr>
        <xdr:cNvPr id="2" name="Picture 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38110-6CCF-483A-98F4-08064E81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3</xdr:row>
      <xdr:rowOff>126954</xdr:rowOff>
    </xdr:from>
    <xdr:to>
      <xdr:col>1</xdr:col>
      <xdr:colOff>1643700</xdr:colOff>
      <xdr:row>4</xdr:row>
      <xdr:rowOff>4724</xdr:rowOff>
    </xdr:to>
    <xdr:sp macro="" textlink="">
      <xdr:nvSpPr>
        <xdr:cNvPr id="3" name="object 8">
          <a:extLst>
            <a:ext uri="{FF2B5EF4-FFF2-40B4-BE49-F238E27FC236}">
              <a16:creationId xmlns:a16="http://schemas.microsoft.com/office/drawing/2014/main" id="{01FC51AC-FB9B-4E9C-A740-12624BC61860}"/>
            </a:ext>
          </a:extLst>
        </xdr:cNvPr>
        <xdr:cNvSpPr/>
      </xdr:nvSpPr>
      <xdr:spPr>
        <a:xfrm>
          <a:off x="3619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6350</xdr:colOff>
      <xdr:row>0</xdr:row>
      <xdr:rowOff>101600</xdr:rowOff>
    </xdr:from>
    <xdr:to>
      <xdr:col>3</xdr:col>
      <xdr:colOff>406400</xdr:colOff>
      <xdr:row>3</xdr:row>
      <xdr:rowOff>95250</xdr:rowOff>
    </xdr:to>
    <xdr:grpSp>
      <xdr:nvGrpSpPr>
        <xdr:cNvPr id="29" name="Group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CD46B5-6677-79C8-E76C-E436169EC0E2}"/>
            </a:ext>
          </a:extLst>
        </xdr:cNvPr>
        <xdr:cNvGrpSpPr/>
      </xdr:nvGrpSpPr>
      <xdr:grpSpPr>
        <a:xfrm>
          <a:off x="2419350" y="101600"/>
          <a:ext cx="1911350" cy="552450"/>
          <a:chOff x="2419350" y="101600"/>
          <a:chExt cx="1911350" cy="5524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A9382D6-C345-4BBD-ABDC-3FDC075D6A1F}"/>
              </a:ext>
            </a:extLst>
          </xdr:cNvPr>
          <xdr:cNvSpPr/>
        </xdr:nvSpPr>
        <xdr:spPr>
          <a:xfrm>
            <a:off x="24193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Graphic 4" descr="Badge Follow with solid fill">
            <a:extLst>
              <a:ext uri="{FF2B5EF4-FFF2-40B4-BE49-F238E27FC236}">
                <a16:creationId xmlns:a16="http://schemas.microsoft.com/office/drawing/2014/main" id="{2CF16686-9F32-4250-AB0F-CBE632F3A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701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5FE8373-3BAB-44D3-B212-B3679A599FA5}"/>
              </a:ext>
            </a:extLst>
          </xdr:cNvPr>
          <xdr:cNvSpPr txBox="1"/>
        </xdr:nvSpPr>
        <xdr:spPr>
          <a:xfrm>
            <a:off x="26733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495300</xdr:colOff>
      <xdr:row>0</xdr:row>
      <xdr:rowOff>127000</xdr:rowOff>
    </xdr:from>
    <xdr:to>
      <xdr:col>5</xdr:col>
      <xdr:colOff>679450</xdr:colOff>
      <xdr:row>3</xdr:row>
      <xdr:rowOff>76200</xdr:rowOff>
    </xdr:to>
    <xdr:grpSp>
      <xdr:nvGrpSpPr>
        <xdr:cNvPr id="30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B5C937-62A7-5310-AA3F-9C3AB47DD5A6}"/>
            </a:ext>
          </a:extLst>
        </xdr:cNvPr>
        <xdr:cNvGrpSpPr/>
      </xdr:nvGrpSpPr>
      <xdr:grpSpPr>
        <a:xfrm>
          <a:off x="4419600" y="127000"/>
          <a:ext cx="1911350" cy="508000"/>
          <a:chOff x="4419600" y="127000"/>
          <a:chExt cx="1911350" cy="5080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31887FC-0F79-450D-B131-95E4F5A8593E}"/>
              </a:ext>
            </a:extLst>
          </xdr:cNvPr>
          <xdr:cNvSpPr/>
        </xdr:nvSpPr>
        <xdr:spPr>
          <a:xfrm>
            <a:off x="44196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B2EAD30-337B-4C87-BFDB-603FF3EF370B}"/>
              </a:ext>
            </a:extLst>
          </xdr:cNvPr>
          <xdr:cNvSpPr txBox="1"/>
        </xdr:nvSpPr>
        <xdr:spPr>
          <a:xfrm>
            <a:off x="46990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9" name="Graphic 8" descr="Badge Unfollow with solid fill">
            <a:extLst>
              <a:ext uri="{FF2B5EF4-FFF2-40B4-BE49-F238E27FC236}">
                <a16:creationId xmlns:a16="http://schemas.microsoft.com/office/drawing/2014/main" id="{7BC4F84A-135A-48CD-A907-CC52A8F908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894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768350</xdr:colOff>
      <xdr:row>0</xdr:row>
      <xdr:rowOff>107950</xdr:rowOff>
    </xdr:from>
    <xdr:to>
      <xdr:col>8</xdr:col>
      <xdr:colOff>88900</xdr:colOff>
      <xdr:row>3</xdr:row>
      <xdr:rowOff>82550</xdr:rowOff>
    </xdr:to>
    <xdr:grpSp>
      <xdr:nvGrpSpPr>
        <xdr:cNvPr id="31" name="Group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8E3898-5035-B4AD-F6C9-F66CF4BACCB7}"/>
            </a:ext>
          </a:extLst>
        </xdr:cNvPr>
        <xdr:cNvGrpSpPr/>
      </xdr:nvGrpSpPr>
      <xdr:grpSpPr>
        <a:xfrm>
          <a:off x="6419850" y="107950"/>
          <a:ext cx="1911350" cy="533400"/>
          <a:chOff x="6419850" y="107950"/>
          <a:chExt cx="1911350" cy="533400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FE59B4E-91D6-48E6-90BA-A736255C452B}"/>
              </a:ext>
            </a:extLst>
          </xdr:cNvPr>
          <xdr:cNvSpPr/>
        </xdr:nvSpPr>
        <xdr:spPr>
          <a:xfrm>
            <a:off x="64198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C610D2A-F91C-47FF-B6BA-C53BC4769D16}"/>
              </a:ext>
            </a:extLst>
          </xdr:cNvPr>
          <xdr:cNvSpPr txBox="1"/>
        </xdr:nvSpPr>
        <xdr:spPr>
          <a:xfrm>
            <a:off x="66929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2" name="Graphic 11" descr="Pie chart with solid fill">
            <a:extLst>
              <a:ext uri="{FF2B5EF4-FFF2-40B4-BE49-F238E27FC236}">
                <a16:creationId xmlns:a16="http://schemas.microsoft.com/office/drawing/2014/main" id="{2AE7A636-736C-44D2-85FB-46649425F3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897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184150</xdr:colOff>
      <xdr:row>0</xdr:row>
      <xdr:rowOff>107950</xdr:rowOff>
    </xdr:from>
    <xdr:to>
      <xdr:col>10</xdr:col>
      <xdr:colOff>368300</xdr:colOff>
      <xdr:row>3</xdr:row>
      <xdr:rowOff>82550</xdr:rowOff>
    </xdr:to>
    <xdr:grpSp>
      <xdr:nvGrpSpPr>
        <xdr:cNvPr id="32" name="Group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E638480-5E58-82E5-B816-C2758895A0B7}"/>
            </a:ext>
          </a:extLst>
        </xdr:cNvPr>
        <xdr:cNvGrpSpPr/>
      </xdr:nvGrpSpPr>
      <xdr:grpSpPr>
        <a:xfrm>
          <a:off x="8426450" y="107950"/>
          <a:ext cx="1911350" cy="533400"/>
          <a:chOff x="8426450" y="107950"/>
          <a:chExt cx="1911350" cy="53340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CA45742-AF6B-456D-B469-35BED7CC429A}"/>
              </a:ext>
            </a:extLst>
          </xdr:cNvPr>
          <xdr:cNvSpPr/>
        </xdr:nvSpPr>
        <xdr:spPr>
          <a:xfrm>
            <a:off x="84264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B41CD3A-36ED-478D-AF78-E6F5E7D256D7}"/>
              </a:ext>
            </a:extLst>
          </xdr:cNvPr>
          <xdr:cNvSpPr txBox="1"/>
        </xdr:nvSpPr>
        <xdr:spPr>
          <a:xfrm>
            <a:off x="86995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98DDFA09-88DE-4716-BDF4-F211AFE09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407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457200</xdr:colOff>
      <xdr:row>0</xdr:row>
      <xdr:rowOff>107950</xdr:rowOff>
    </xdr:from>
    <xdr:to>
      <xdr:col>12</xdr:col>
      <xdr:colOff>641350</xdr:colOff>
      <xdr:row>3</xdr:row>
      <xdr:rowOff>82550</xdr:rowOff>
    </xdr:to>
    <xdr:grpSp>
      <xdr:nvGrpSpPr>
        <xdr:cNvPr id="33" name="Group 3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C198C7C-5FD3-BBB7-4B30-56868F72FB93}"/>
            </a:ext>
          </a:extLst>
        </xdr:cNvPr>
        <xdr:cNvGrpSpPr/>
      </xdr:nvGrpSpPr>
      <xdr:grpSpPr>
        <a:xfrm>
          <a:off x="10426700" y="107950"/>
          <a:ext cx="1911350" cy="533400"/>
          <a:chOff x="10426700" y="10795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4A246291-B910-4023-BD51-D1764BFE8284}"/>
              </a:ext>
            </a:extLst>
          </xdr:cNvPr>
          <xdr:cNvSpPr/>
        </xdr:nvSpPr>
        <xdr:spPr>
          <a:xfrm>
            <a:off x="10426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5D89333-D7A1-443E-889F-83D524383AD6}"/>
              </a:ext>
            </a:extLst>
          </xdr:cNvPr>
          <xdr:cNvSpPr txBox="1"/>
        </xdr:nvSpPr>
        <xdr:spPr>
          <a:xfrm>
            <a:off x="106997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4BF55D8C-9A8B-4CD1-B381-1ADFCFD2A9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5029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730250</xdr:colOff>
      <xdr:row>0</xdr:row>
      <xdr:rowOff>107950</xdr:rowOff>
    </xdr:from>
    <xdr:to>
      <xdr:col>15</xdr:col>
      <xdr:colOff>50800</xdr:colOff>
      <xdr:row>3</xdr:row>
      <xdr:rowOff>82550</xdr:rowOff>
    </xdr:to>
    <xdr:grpSp>
      <xdr:nvGrpSpPr>
        <xdr:cNvPr id="34" name="Group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731D76A-AD09-F438-9692-19B9DF778BD5}"/>
            </a:ext>
          </a:extLst>
        </xdr:cNvPr>
        <xdr:cNvGrpSpPr/>
      </xdr:nvGrpSpPr>
      <xdr:grpSpPr>
        <a:xfrm>
          <a:off x="12426950" y="107950"/>
          <a:ext cx="1911350" cy="533400"/>
          <a:chOff x="12426950" y="10795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626338A-8600-42F2-AC3D-BBE0ADCE8A51}"/>
              </a:ext>
            </a:extLst>
          </xdr:cNvPr>
          <xdr:cNvSpPr/>
        </xdr:nvSpPr>
        <xdr:spPr>
          <a:xfrm>
            <a:off x="124269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C187F75-61EE-493E-AE91-087ADF4B8BB8}"/>
              </a:ext>
            </a:extLst>
          </xdr:cNvPr>
          <xdr:cNvSpPr txBox="1"/>
        </xdr:nvSpPr>
        <xdr:spPr>
          <a:xfrm>
            <a:off x="12700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7D443855-4824-4925-8A53-76684B05E687}"/>
              </a:ext>
            </a:extLst>
          </xdr:cNvPr>
          <xdr:cNvGrpSpPr/>
        </xdr:nvGrpSpPr>
        <xdr:grpSpPr>
          <a:xfrm>
            <a:off x="125158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4" name="Graphic 23" descr="Magnifying glass with solid fill">
              <a:extLst>
                <a:ext uri="{FF2B5EF4-FFF2-40B4-BE49-F238E27FC236}">
                  <a16:creationId xmlns:a16="http://schemas.microsoft.com/office/drawing/2014/main" id="{7894C60C-7C59-7F41-DE34-CC42A4CA03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5" name="Graphic 24" descr="Add outline">
              <a:extLst>
                <a:ext uri="{FF2B5EF4-FFF2-40B4-BE49-F238E27FC236}">
                  <a16:creationId xmlns:a16="http://schemas.microsoft.com/office/drawing/2014/main" id="{431A1A8E-F53B-C349-8BC7-E81E5CD9D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146050</xdr:colOff>
      <xdr:row>0</xdr:row>
      <xdr:rowOff>107950</xdr:rowOff>
    </xdr:from>
    <xdr:to>
      <xdr:col>17</xdr:col>
      <xdr:colOff>266700</xdr:colOff>
      <xdr:row>3</xdr:row>
      <xdr:rowOff>82550</xdr:rowOff>
    </xdr:to>
    <xdr:grpSp>
      <xdr:nvGrpSpPr>
        <xdr:cNvPr id="35" name="Group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151742D-7DA7-B9D3-D9AA-86C9FBE47BA5}"/>
            </a:ext>
          </a:extLst>
        </xdr:cNvPr>
        <xdr:cNvGrpSpPr/>
      </xdr:nvGrpSpPr>
      <xdr:grpSpPr>
        <a:xfrm>
          <a:off x="14433550" y="107950"/>
          <a:ext cx="1911350" cy="533400"/>
          <a:chOff x="14433550" y="107950"/>
          <a:chExt cx="1911350" cy="5334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C684ED6-3365-4ACF-9484-D7A839E61784}"/>
              </a:ext>
            </a:extLst>
          </xdr:cNvPr>
          <xdr:cNvSpPr/>
        </xdr:nvSpPr>
        <xdr:spPr>
          <a:xfrm>
            <a:off x="144335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5093C80-0D3C-4914-A540-E06DD8CAAE6C}"/>
              </a:ext>
            </a:extLst>
          </xdr:cNvPr>
          <xdr:cNvSpPr txBox="1"/>
        </xdr:nvSpPr>
        <xdr:spPr>
          <a:xfrm>
            <a:off x="14706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BF846202-103D-405B-BECE-1CFB6CCB5E4F}"/>
              </a:ext>
            </a:extLst>
          </xdr:cNvPr>
          <xdr:cNvGrpSpPr/>
        </xdr:nvGrpSpPr>
        <xdr:grpSpPr>
          <a:xfrm>
            <a:off x="1453515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7" name="Graphic 26" descr="Magnifying glass with solid fill">
              <a:extLst>
                <a:ext uri="{FF2B5EF4-FFF2-40B4-BE49-F238E27FC236}">
                  <a16:creationId xmlns:a16="http://schemas.microsoft.com/office/drawing/2014/main" id="{7018AE44-3F18-E7B9-3880-72280797E5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28" name="Graphic 27" descr="Badge Unfollow outline">
              <a:extLst>
                <a:ext uri="{FF2B5EF4-FFF2-40B4-BE49-F238E27FC236}">
                  <a16:creationId xmlns:a16="http://schemas.microsoft.com/office/drawing/2014/main" id="{4A7A7151-9799-38B3-0A99-DE3F4375EB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0</xdr:rowOff>
    </xdr:from>
    <xdr:to>
      <xdr:col>18</xdr:col>
      <xdr:colOff>292100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269423</xdr:colOff>
      <xdr:row>28</xdr:row>
      <xdr:rowOff>158750</xdr:rowOff>
    </xdr:from>
    <xdr:to>
      <xdr:col>11</xdr:col>
      <xdr:colOff>148989</xdr:colOff>
      <xdr:row>30</xdr:row>
      <xdr:rowOff>177479</xdr:rowOff>
    </xdr:to>
    <xdr:sp macro="" textlink="SUPORTE!D20">
      <xdr:nvSpPr>
        <xdr:cNvPr id="111" name="CaixaDeTexto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74773" y="5321300"/>
          <a:ext cx="1803616" cy="3870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5C48345E-3516-4902-BC2A-F8F9EFD55A51}" type="TxLink">
            <a:rPr lang="en-US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rPr>
            <a:pPr marL="0" indent="0" algn="l"/>
            <a:t> R$2.504,00 </a:t>
          </a:fld>
          <a:endParaRPr lang="pt-BR" sz="2000" b="1" i="0" u="none" strike="noStrike">
            <a:solidFill>
              <a:schemeClr val="bg1">
                <a:lumMod val="50000"/>
              </a:schemeClr>
            </a:solidFill>
            <a:latin typeface="Ubuntu" panose="020B05040306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393704</xdr:colOff>
      <xdr:row>20</xdr:row>
      <xdr:rowOff>168157</xdr:rowOff>
    </xdr:from>
    <xdr:to>
      <xdr:col>15</xdr:col>
      <xdr:colOff>31750</xdr:colOff>
      <xdr:row>25</xdr:row>
      <xdr:rowOff>126606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C1887E72-3055-6321-90F8-5DBA63DB9AF3}"/>
            </a:ext>
          </a:extLst>
        </xdr:cNvPr>
        <xdr:cNvGrpSpPr/>
      </xdr:nvGrpSpPr>
      <xdr:grpSpPr>
        <a:xfrm>
          <a:off x="7023104" y="3857507"/>
          <a:ext cx="2203446" cy="879199"/>
          <a:chOff x="7023104" y="3857507"/>
          <a:chExt cx="2203446" cy="879199"/>
        </a:xfrm>
      </xdr:grpSpPr>
      <xdr:grpSp>
        <xdr:nvGrpSpPr>
          <xdr:cNvPr id="193" name="Agrupar 192">
            <a:extLst>
              <a:ext uri="{FF2B5EF4-FFF2-40B4-BE49-F238E27FC236}">
                <a16:creationId xmlns:a16="http://schemas.microsoft.com/office/drawing/2014/main" id="{00000000-0008-0000-0200-0000C1000000}"/>
              </a:ext>
            </a:extLst>
          </xdr:cNvPr>
          <xdr:cNvGrpSpPr/>
        </xdr:nvGrpSpPr>
        <xdr:grpSpPr>
          <a:xfrm>
            <a:off x="7023104" y="3857507"/>
            <a:ext cx="2203443" cy="879199"/>
            <a:chOff x="2343150" y="3524250"/>
            <a:chExt cx="1625904" cy="888093"/>
          </a:xfrm>
        </xdr:grpSpPr>
        <xdr:sp macro="" textlink="">
          <xdr:nvSpPr>
            <xdr:cNvPr id="194" name="Retângulo Arredondado 8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2344440" y="3533775"/>
              <a:ext cx="1624614" cy="847725"/>
            </a:xfrm>
            <a:prstGeom prst="roundRect">
              <a:avLst>
                <a:gd name="adj" fmla="val 2794"/>
              </a:avLst>
            </a:prstGeom>
            <a:gradFill flip="none" rotWithShape="1">
              <a:gsLst>
                <a:gs pos="32000">
                  <a:srgbClr val="FF7575"/>
                </a:gs>
                <a:gs pos="100000">
                  <a:srgbClr val="FE9666"/>
                </a:gs>
              </a:gsLst>
              <a:lin ang="16800000" scaled="0"/>
              <a:tileRect/>
            </a:gra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aphicFrame macro="">
          <xdr:nvGraphicFramePr>
            <xdr:cNvPr id="195" name="Gráfico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GraphicFramePr/>
          </xdr:nvGraphicFramePr>
          <xdr:xfrm>
            <a:off x="2343150" y="3524250"/>
            <a:ext cx="1219200" cy="888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 txBox="1"/>
          </xdr:nvSpPr>
          <xdr:spPr>
            <a:xfrm>
              <a:off x="2738056" y="3558560"/>
              <a:ext cx="1226420" cy="271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100" b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MÊS MAIS</a:t>
              </a:r>
              <a:r>
                <a:rPr lang="pt-BR" sz="1100" b="0" baseline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 </a:t>
              </a:r>
              <a:r>
                <a:rPr lang="pt-BR" sz="1200" b="1" baseline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NEGATIVO</a:t>
              </a:r>
              <a:endParaRPr lang="pt-BR" sz="1100" b="1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endParaRPr>
            </a:p>
          </xdr:txBody>
        </xdr:sp>
      </xdr:grpSp>
      <xdr:sp macro="" textlink="SUPORTE!D23">
        <xdr:nvSpPr>
          <xdr:cNvPr id="203" name="CaixaDeTexto 202">
            <a:extLst>
              <a:ext uri="{FF2B5EF4-FFF2-40B4-BE49-F238E27FC236}">
                <a16:creationId xmlns:a16="http://schemas.microsoft.com/office/drawing/2014/main" id="{00000000-0008-0000-0200-0000CB000000}"/>
              </a:ext>
            </a:extLst>
          </xdr:cNvPr>
          <xdr:cNvSpPr txBox="1"/>
        </xdr:nvSpPr>
        <xdr:spPr>
          <a:xfrm>
            <a:off x="7517008" y="4093729"/>
            <a:ext cx="1709542" cy="3027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622233C-2CEA-4357-AA84-213778B5BFB7}" type="TxLink">
              <a:rPr lang="en-US" sz="14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ctr"/>
              <a:t>ABRIL</a:t>
            </a:fld>
            <a:endParaRPr lang="pt-BR" sz="14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SUPORTE!C23">
        <xdr:nvSpPr>
          <xdr:cNvPr id="204" name="CaixaDeTexto 203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 txBox="1"/>
        </xdr:nvSpPr>
        <xdr:spPr>
          <a:xfrm>
            <a:off x="7447036" y="4328639"/>
            <a:ext cx="1713127" cy="3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fld id="{E10EFB0B-AE71-44E9-9778-145BE253CA93}" type="TxLink">
              <a:rPr lang="en-US" sz="16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ctr"/>
              <a:t> R$ 240,00 </a:t>
            </a:fld>
            <a:endParaRPr lang="pt-BR" sz="16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8236" name="Imagem 8235">
            <a:extLst>
              <a:ext uri="{FF2B5EF4-FFF2-40B4-BE49-F238E27FC236}">
                <a16:creationId xmlns:a16="http://schemas.microsoft.com/office/drawing/2014/main" id="{00000000-0008-0000-0200-00002C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6925" y="4079875"/>
            <a:ext cx="390145" cy="41402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98418</xdr:colOff>
      <xdr:row>20</xdr:row>
      <xdr:rowOff>177800</xdr:rowOff>
    </xdr:from>
    <xdr:to>
      <xdr:col>18</xdr:col>
      <xdr:colOff>458628</xdr:colOff>
      <xdr:row>25</xdr:row>
      <xdr:rowOff>120255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5296AFC5-B417-8EE5-A6B0-EEA3E0BD7FD0}"/>
            </a:ext>
          </a:extLst>
        </xdr:cNvPr>
        <xdr:cNvGrpSpPr/>
      </xdr:nvGrpSpPr>
      <xdr:grpSpPr>
        <a:xfrm>
          <a:off x="9293218" y="3867150"/>
          <a:ext cx="2284260" cy="863205"/>
          <a:chOff x="9293218" y="3867150"/>
          <a:chExt cx="2284260" cy="863205"/>
        </a:xfrm>
      </xdr:grpSpPr>
      <xdr:grpSp>
        <xdr:nvGrpSpPr>
          <xdr:cNvPr id="216" name="Agrupar 215">
            <a:extLst>
              <a:ext uri="{FF2B5EF4-FFF2-40B4-BE49-F238E27FC236}">
                <a16:creationId xmlns:a16="http://schemas.microsoft.com/office/drawing/2014/main" id="{00000000-0008-0000-0200-0000D8000000}"/>
              </a:ext>
            </a:extLst>
          </xdr:cNvPr>
          <xdr:cNvGrpSpPr/>
        </xdr:nvGrpSpPr>
        <xdr:grpSpPr>
          <a:xfrm>
            <a:off x="9293218" y="3867150"/>
            <a:ext cx="2149482" cy="863205"/>
            <a:chOff x="2343150" y="3524250"/>
            <a:chExt cx="1625905" cy="888093"/>
          </a:xfrm>
          <a:effectLst>
            <a:outerShdw blurRad="50800" dist="38100" dir="2700000" algn="tl" rotWithShape="0">
              <a:prstClr val="black">
                <a:alpha val="10000"/>
              </a:prstClr>
            </a:outerShdw>
          </a:effectLst>
        </xdr:grpSpPr>
        <xdr:sp macro="" textlink="">
          <xdr:nvSpPr>
            <xdr:cNvPr id="219" name="Retângulo Arredondado 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344441" y="3533775"/>
              <a:ext cx="1624614" cy="847725"/>
            </a:xfrm>
            <a:prstGeom prst="roundRect">
              <a:avLst>
                <a:gd name="adj" fmla="val 2794"/>
              </a:avLst>
            </a:prstGeom>
            <a:gradFill flip="none" rotWithShape="1">
              <a:gsLst>
                <a:gs pos="32000">
                  <a:srgbClr val="15B799"/>
                </a:gs>
                <a:gs pos="100000">
                  <a:srgbClr val="2DC87A"/>
                </a:gs>
              </a:gsLst>
              <a:lin ang="16800000" scaled="0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graphicFrame macro="">
          <xdr:nvGraphicFramePr>
            <xdr:cNvPr id="220" name="Gráfico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GraphicFramePr/>
          </xdr:nvGraphicFramePr>
          <xdr:xfrm>
            <a:off x="2343150" y="3524250"/>
            <a:ext cx="1219200" cy="888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pic>
        <xdr:nvPicPr>
          <xdr:cNvPr id="8234" name="Imagem 8233">
            <a:extLst>
              <a:ext uri="{FF2B5EF4-FFF2-40B4-BE49-F238E27FC236}">
                <a16:creationId xmlns:a16="http://schemas.microsoft.com/office/drawing/2014/main" id="{00000000-0008-0000-0200-00002A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45625" y="4086225"/>
            <a:ext cx="390145" cy="414021"/>
          </a:xfrm>
          <a:prstGeom prst="rect">
            <a:avLst/>
          </a:prstGeom>
        </xdr:spPr>
      </xdr:pic>
      <xdr:sp macro="" textlink="">
        <xdr:nvSpPr>
          <xdr:cNvPr id="233" name="CaixaDeTexto 232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SpPr txBox="1"/>
        </xdr:nvSpPr>
        <xdr:spPr>
          <a:xfrm>
            <a:off x="9822113" y="3897823"/>
            <a:ext cx="1548779" cy="2738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MÊS MAIS</a:t>
            </a:r>
            <a:r>
              <a:rPr lang="pt-BR" sz="1100" b="0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  <a:r>
              <a:rPr lang="pt-BR" sz="12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POSITIVO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SUPORTE!D24">
        <xdr:nvSpPr>
          <xdr:cNvPr id="234" name="CaixaDeTexto 233">
            <a:extLst>
              <a:ext uri="{FF2B5EF4-FFF2-40B4-BE49-F238E27FC236}">
                <a16:creationId xmlns:a16="http://schemas.microsoft.com/office/drawing/2014/main" id="{00000000-0008-0000-0200-0000EA000000}"/>
              </a:ext>
            </a:extLst>
          </xdr:cNvPr>
          <xdr:cNvSpPr txBox="1"/>
        </xdr:nvSpPr>
        <xdr:spPr>
          <a:xfrm>
            <a:off x="9691110" y="4092575"/>
            <a:ext cx="1883624" cy="298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096194C4-EC84-4D66-84D2-19ADF645DF42}" type="TxLink">
              <a:rPr lang="en-US" sz="14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DEZEMBRO</a:t>
            </a:fld>
            <a:endParaRPr lang="pt-BR" sz="14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SUPORTE!C24">
        <xdr:nvSpPr>
          <xdr:cNvPr id="235" name="CaixaDeTexto 234">
            <a:extLst>
              <a:ext uri="{FF2B5EF4-FFF2-40B4-BE49-F238E27FC236}">
                <a16:creationId xmlns:a16="http://schemas.microsoft.com/office/drawing/2014/main" id="{00000000-0008-0000-0200-0000EB000000}"/>
              </a:ext>
            </a:extLst>
          </xdr:cNvPr>
          <xdr:cNvSpPr txBox="1"/>
        </xdr:nvSpPr>
        <xdr:spPr>
          <a:xfrm>
            <a:off x="9690104" y="4314825"/>
            <a:ext cx="1887374" cy="3300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fld id="{0D95FDC4-AC08-41FC-B498-4746BFE9C28E}" type="TxLink">
              <a:rPr lang="en-US" sz="16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 R$ 2.611,00 </a:t>
            </a:fld>
            <a:endParaRPr lang="pt-BR" sz="16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17</xdr:col>
      <xdr:colOff>447675</xdr:colOff>
      <xdr:row>27</xdr:row>
      <xdr:rowOff>0</xdr:rowOff>
    </xdr:from>
    <xdr:to>
      <xdr:col>18</xdr:col>
      <xdr:colOff>63038</xdr:colOff>
      <xdr:row>28</xdr:row>
      <xdr:rowOff>81916</xdr:rowOff>
    </xdr:to>
    <xdr:pic>
      <xdr:nvPicPr>
        <xdr:cNvPr id="8243" name="Imagem 8242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914900"/>
          <a:ext cx="224963" cy="272416"/>
        </a:xfrm>
        <a:prstGeom prst="rect">
          <a:avLst/>
        </a:prstGeom>
      </xdr:spPr>
    </xdr:pic>
    <xdr:clientData/>
  </xdr:twoCellAnchor>
  <xdr:twoCellAnchor>
    <xdr:from>
      <xdr:col>11</xdr:col>
      <xdr:colOff>406400</xdr:colOff>
      <xdr:row>26</xdr:row>
      <xdr:rowOff>15875</xdr:rowOff>
    </xdr:from>
    <xdr:to>
      <xdr:col>18</xdr:col>
      <xdr:colOff>342900</xdr:colOff>
      <xdr:row>33</xdr:row>
      <xdr:rowOff>158749</xdr:rowOff>
    </xdr:to>
    <xdr:grpSp>
      <xdr:nvGrpSpPr>
        <xdr:cNvPr id="8250" name="Agrupar 8249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GrpSpPr/>
      </xdr:nvGrpSpPr>
      <xdr:grpSpPr>
        <a:xfrm>
          <a:off x="7035800" y="4810125"/>
          <a:ext cx="4425950" cy="1431924"/>
          <a:chOff x="7472631" y="4597987"/>
          <a:chExt cx="4795568" cy="1480582"/>
        </a:xfrm>
      </xdr:grpSpPr>
      <xdr:grpSp>
        <xdr:nvGrpSpPr>
          <xdr:cNvPr id="8228" name="Agrupar 8227">
            <a:extLst>
              <a:ext uri="{FF2B5EF4-FFF2-40B4-BE49-F238E27FC236}">
                <a16:creationId xmlns:a16="http://schemas.microsoft.com/office/drawing/2014/main" id="{00000000-0008-0000-0200-000024200000}"/>
              </a:ext>
            </a:extLst>
          </xdr:cNvPr>
          <xdr:cNvGrpSpPr/>
        </xdr:nvGrpSpPr>
        <xdr:grpSpPr>
          <a:xfrm>
            <a:off x="7472631" y="4597987"/>
            <a:ext cx="4795568" cy="1480582"/>
            <a:chOff x="7472631" y="3550237"/>
            <a:chExt cx="4795568" cy="1480582"/>
          </a:xfrm>
        </xdr:grpSpPr>
        <xdr:grpSp>
          <xdr:nvGrpSpPr>
            <xdr:cNvPr id="8198" name="Agrupar 8197">
              <a:extLs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GrpSpPr/>
          </xdr:nvGrpSpPr>
          <xdr:grpSpPr>
            <a:xfrm>
              <a:off x="7472631" y="3550237"/>
              <a:ext cx="4795568" cy="1480582"/>
              <a:chOff x="8701356" y="3559762"/>
              <a:chExt cx="4795568" cy="1480582"/>
            </a:xfrm>
          </xdr:grpSpPr>
          <xdr:grpSp>
            <xdr:nvGrpSpPr>
              <xdr:cNvPr id="95" name="Agrupar 94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GrpSpPr/>
            </xdr:nvGrpSpPr>
            <xdr:grpSpPr>
              <a:xfrm>
                <a:off x="8701356" y="3559762"/>
                <a:ext cx="4795568" cy="1480582"/>
                <a:chOff x="1128981" y="4226512"/>
                <a:chExt cx="4795568" cy="1480582"/>
              </a:xfrm>
            </xdr:grpSpPr>
            <xdr:sp macro="" textlink="">
              <xdr:nvSpPr>
                <xdr:cNvPr id="10" name="Retângulo 9">
                  <a:extLst>
                    <a:ext uri="{FF2B5EF4-FFF2-40B4-BE49-F238E27FC236}">
                      <a16:creationId xmlns:a16="http://schemas.microsoft.com/office/drawing/2014/main" id="{00000000-0008-0000-0200-00000A000000}"/>
                    </a:ext>
                  </a:extLst>
                </xdr:cNvPr>
                <xdr:cNvSpPr/>
              </xdr:nvSpPr>
              <xdr:spPr>
                <a:xfrm>
                  <a:off x="1128981" y="4226512"/>
                  <a:ext cx="4795568" cy="1480582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10000"/>
                    </a:prstClr>
                  </a:outerShdw>
                </a:effec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100"/>
                </a:p>
              </xdr:txBody>
            </xdr:sp>
            <xdr:sp macro="" textlink="">
              <xdr:nvSpPr>
                <xdr:cNvPr id="31" name="CaixaDeTexto 30">
                  <a:extLst>
                    <a:ext uri="{FF2B5EF4-FFF2-40B4-BE49-F238E27FC236}">
                      <a16:creationId xmlns:a16="http://schemas.microsoft.com/office/drawing/2014/main" id="{00000000-0008-0000-0200-00001F000000}"/>
                    </a:ext>
                  </a:extLst>
                </xdr:cNvPr>
                <xdr:cNvSpPr txBox="1"/>
              </xdr:nvSpPr>
              <xdr:spPr>
                <a:xfrm>
                  <a:off x="1452948" y="4447175"/>
                  <a:ext cx="2068198" cy="2783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Ubuntu" panose="020B0504030602030204" pitchFamily="34" charset="0"/>
                    </a:rPr>
                    <a:t> TOTAL INVESTIDO EM </a:t>
                  </a:r>
                </a:p>
              </xdr:txBody>
            </xdr:sp>
            <xdr:sp macro="" textlink="">
              <xdr:nvSpPr>
                <xdr:cNvPr id="246" name="CaixaDeTexto 245">
                  <a:extLst>
                    <a:ext uri="{FF2B5EF4-FFF2-40B4-BE49-F238E27FC236}">
                      <a16:creationId xmlns:a16="http://schemas.microsoft.com/office/drawing/2014/main" id="{00000000-0008-0000-0200-0000F6000000}"/>
                    </a:ext>
                  </a:extLst>
                </xdr:cNvPr>
                <xdr:cNvSpPr txBox="1"/>
              </xdr:nvSpPr>
              <xdr:spPr>
                <a:xfrm>
                  <a:off x="3837925" y="5034672"/>
                  <a:ext cx="1730551" cy="2783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BATERAM A META</a:t>
                  </a:r>
                </a:p>
              </xdr:txBody>
            </xdr:sp>
            <xdr:sp macro="" textlink="">
              <xdr:nvSpPr>
                <xdr:cNvPr id="251" name="CaixaDeTexto 250">
                  <a:extLst>
                    <a:ext uri="{FF2B5EF4-FFF2-40B4-BE49-F238E27FC236}">
                      <a16:creationId xmlns:a16="http://schemas.microsoft.com/office/drawing/2014/main" id="{00000000-0008-0000-0200-0000FB000000}"/>
                    </a:ext>
                  </a:extLst>
                </xdr:cNvPr>
                <xdr:cNvSpPr txBox="1"/>
              </xdr:nvSpPr>
              <xdr:spPr>
                <a:xfrm>
                  <a:off x="4617404" y="4707863"/>
                  <a:ext cx="836895" cy="30875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4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MESES</a:t>
                  </a:r>
                </a:p>
              </xdr:txBody>
            </xdr:sp>
          </xdr:grpSp>
          <xdr:sp macro="" textlink="SUPORTE!C3">
            <xdr:nvSpPr>
              <xdr:cNvPr id="135" name="CaixaDeTexto 134">
                <a:extLst>
                  <a:ext uri="{FF2B5EF4-FFF2-40B4-BE49-F238E27FC236}">
                    <a16:creationId xmlns:a16="http://schemas.microsoft.com/office/drawing/2014/main" id="{00000000-0008-0000-0200-000087000000}"/>
                  </a:ext>
                </a:extLst>
              </xdr:cNvPr>
              <xdr:cNvSpPr txBox="1"/>
            </xdr:nvSpPr>
            <xdr:spPr>
              <a:xfrm>
                <a:off x="9663913" y="3985057"/>
                <a:ext cx="705031" cy="3392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indent="0"/>
                <a:fld id="{BD95CE4C-7F3A-472E-B5CD-02510DECF2D5}" type="TxLink">
                  <a:rPr lang="en-US" sz="1600" b="1" i="0" u="none" strike="noStrike">
                    <a:solidFill>
                      <a:schemeClr val="tx1"/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/>
                  <a:t>2025</a:t>
                </a:fld>
                <a:endParaRPr lang="pt-BR" sz="1600" b="1">
                  <a:solidFill>
                    <a:schemeClr val="tx1"/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</xdr:grpSp>
        <xdr:sp macro="" textlink="SUPORTE!P10">
          <xdr:nvSpPr>
            <xdr:cNvPr id="146" name="CaixaDeTexto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 txBox="1"/>
          </xdr:nvSpPr>
          <xdr:spPr>
            <a:xfrm>
              <a:off x="7722268" y="4272750"/>
              <a:ext cx="2015021" cy="468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 algn="ctr"/>
              <a:fld id="{7CA043CE-7B71-41E5-9562-84423AC0B087}" type="TxLink">
                <a:rPr lang="en-US" sz="2000" b="1" i="0" u="none" strike="noStrike">
                  <a:solidFill>
                    <a:schemeClr val="bg2">
                      <a:lumMod val="50000"/>
                    </a:schemeClr>
                  </a:solidFill>
                  <a:latin typeface="Ubuntu" panose="020B0504030602030204" pitchFamily="34" charset="0"/>
                  <a:ea typeface="Calibri"/>
                  <a:cs typeface="Calibri"/>
                </a:rPr>
                <a:pPr marL="0" indent="0" algn="ctr"/>
                <a:t> R$2.750,00 </a:t>
              </a:fld>
              <a:endParaRPr lang="pt-BR" sz="60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</xdr:grpSp>
      <xdr:cxnSp macro="">
        <xdr:nvCxnSpPr>
          <xdr:cNvPr id="8246" name="Conector reto 8245">
            <a:extLst>
              <a:ext uri="{FF2B5EF4-FFF2-40B4-BE49-F238E27FC236}">
                <a16:creationId xmlns:a16="http://schemas.microsoft.com/office/drawing/2014/main" id="{00000000-0008-0000-0200-000036200000}"/>
              </a:ext>
            </a:extLst>
          </xdr:cNvPr>
          <xdr:cNvCxnSpPr/>
        </xdr:nvCxnSpPr>
        <xdr:spPr>
          <a:xfrm>
            <a:off x="9900570" y="4869587"/>
            <a:ext cx="0" cy="90487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8248" name="Imagem 8247">
            <a:extLst>
              <a:ext uri="{FF2B5EF4-FFF2-40B4-BE49-F238E27FC236}">
                <a16:creationId xmlns:a16="http://schemas.microsoft.com/office/drawing/2014/main" id="{00000000-0008-0000-0200-000038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69429" y="5082744"/>
            <a:ext cx="201366" cy="24384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608308</xdr:colOff>
      <xdr:row>27</xdr:row>
      <xdr:rowOff>177307</xdr:rowOff>
    </xdr:from>
    <xdr:to>
      <xdr:col>16</xdr:col>
      <xdr:colOff>538366</xdr:colOff>
      <xdr:row>30</xdr:row>
      <xdr:rowOff>73508</xdr:rowOff>
    </xdr:to>
    <xdr:sp macro="" textlink="SUPORTE!H23">
      <xdr:nvSpPr>
        <xdr:cNvPr id="249" name="CaixaDeTexto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9803108" y="5155707"/>
          <a:ext cx="571408" cy="44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fld id="{C8D9178B-2F48-417B-9E3C-E5AFE4F27072}" type="TxLink">
            <a:rPr lang="en-US" sz="3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  <a:cs typeface="Calibri"/>
            </a:rPr>
            <a:pPr algn="r"/>
            <a:t>2</a:t>
          </a:fld>
          <a:endParaRPr lang="pt-BR" sz="6600" b="1">
            <a:solidFill>
              <a:schemeClr val="tx1">
                <a:lumMod val="50000"/>
                <a:lumOff val="50000"/>
              </a:schemeClr>
            </a:solidFill>
            <a:latin typeface="Ubuntu" panose="020B0504030602030204" pitchFamily="34" charset="0"/>
          </a:endParaRPr>
        </a:p>
      </xdr:txBody>
    </xdr:sp>
    <xdr:clientData/>
  </xdr:twoCellAnchor>
  <xdr:twoCellAnchor>
    <xdr:from>
      <xdr:col>14</xdr:col>
      <xdr:colOff>361160</xdr:colOff>
      <xdr:row>5</xdr:row>
      <xdr:rowOff>9525</xdr:rowOff>
    </xdr:from>
    <xdr:to>
      <xdr:col>18</xdr:col>
      <xdr:colOff>41275</xdr:colOff>
      <xdr:row>6</xdr:row>
      <xdr:rowOff>50801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8914610" y="936625"/>
          <a:ext cx="2245515" cy="225426"/>
          <a:chOff x="10025066" y="697706"/>
          <a:chExt cx="2143122" cy="238126"/>
        </a:xfrm>
      </xdr:grpSpPr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0070309" y="697707"/>
            <a:ext cx="947738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RECEITAS</a:t>
            </a: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11218069" y="697706"/>
            <a:ext cx="950119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DESPESAS</a:t>
            </a:r>
          </a:p>
        </xdr:txBody>
      </xdr:sp>
      <xdr:cxnSp macro="">
        <xdr:nvCxnSpPr>
          <xdr:cNvPr id="16" name="Conector reto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flipH="1">
            <a:off x="10025066" y="816768"/>
            <a:ext cx="288000" cy="0"/>
          </a:xfrm>
          <a:prstGeom prst="line">
            <a:avLst/>
          </a:prstGeom>
          <a:ln w="28575">
            <a:solidFill>
              <a:srgbClr val="41C77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Conector reto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CxnSpPr/>
        </xdr:nvCxnSpPr>
        <xdr:spPr>
          <a:xfrm flipH="1">
            <a:off x="11153778" y="826293"/>
            <a:ext cx="288000" cy="0"/>
          </a:xfrm>
          <a:prstGeom prst="line">
            <a:avLst/>
          </a:prstGeom>
          <a:ln w="28575">
            <a:solidFill>
              <a:srgbClr val="FF482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</xdr:col>
      <xdr:colOff>196850</xdr:colOff>
      <xdr:row>1</xdr:row>
      <xdr:rowOff>57150</xdr:rowOff>
    </xdr:from>
    <xdr:to>
      <xdr:col>3</xdr:col>
      <xdr:colOff>210169</xdr:colOff>
      <xdr:row>3</xdr:row>
      <xdr:rowOff>38054</xdr:rowOff>
    </xdr:to>
    <xdr:pic>
      <xdr:nvPicPr>
        <xdr:cNvPr id="7" name="Picture 6" descr="Previ Novartis – Seu futuro é o nosso melhor present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AE32AA-03BD-47E3-9970-4CEAB39C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126954</xdr:rowOff>
    </xdr:from>
    <xdr:to>
      <xdr:col>3</xdr:col>
      <xdr:colOff>475300</xdr:colOff>
      <xdr:row>4</xdr:row>
      <xdr:rowOff>4724</xdr:rowOff>
    </xdr:to>
    <xdr:sp macro="" textlink="">
      <xdr:nvSpPr>
        <xdr:cNvPr id="9" name="object 8">
          <a:extLst>
            <a:ext uri="{FF2B5EF4-FFF2-40B4-BE49-F238E27FC236}">
              <a16:creationId xmlns:a16="http://schemas.microsoft.com/office/drawing/2014/main" id="{284EA115-AFA3-4CC7-8920-73839E06C9AF}"/>
            </a:ext>
          </a:extLst>
        </xdr:cNvPr>
        <xdr:cNvSpPr/>
      </xdr:nvSpPr>
      <xdr:spPr>
        <a:xfrm>
          <a:off x="36830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88900</xdr:colOff>
      <xdr:row>34</xdr:row>
      <xdr:rowOff>136524</xdr:rowOff>
    </xdr:from>
    <xdr:to>
      <xdr:col>18</xdr:col>
      <xdr:colOff>361950</xdr:colOff>
      <xdr:row>46</xdr:row>
      <xdr:rowOff>25400</xdr:rowOff>
    </xdr:to>
    <xdr:sp macro="" textlink="">
      <xdr:nvSpPr>
        <xdr:cNvPr id="73" name="Retângulo 9">
          <a:extLst>
            <a:ext uri="{FF2B5EF4-FFF2-40B4-BE49-F238E27FC236}">
              <a16:creationId xmlns:a16="http://schemas.microsoft.com/office/drawing/2014/main" id="{71045D6B-0018-C78B-AF74-F7D4A71FD856}"/>
            </a:ext>
          </a:extLst>
        </xdr:cNvPr>
        <xdr:cNvSpPr/>
      </xdr:nvSpPr>
      <xdr:spPr>
        <a:xfrm>
          <a:off x="412750" y="6403974"/>
          <a:ext cx="11068050" cy="2098676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399258</xdr:colOff>
      <xdr:row>35</xdr:row>
      <xdr:rowOff>9526</xdr:rowOff>
    </xdr:from>
    <xdr:to>
      <xdr:col>18</xdr:col>
      <xdr:colOff>63499</xdr:colOff>
      <xdr:row>36</xdr:row>
      <xdr:rowOff>76200</xdr:rowOff>
    </xdr:to>
    <xdr:grpSp>
      <xdr:nvGrpSpPr>
        <xdr:cNvPr id="79" name="Agrupar 16">
          <a:extLst>
            <a:ext uri="{FF2B5EF4-FFF2-40B4-BE49-F238E27FC236}">
              <a16:creationId xmlns:a16="http://schemas.microsoft.com/office/drawing/2014/main" id="{ACCCCA7B-EB6F-466E-ABA9-87016F65532A}"/>
            </a:ext>
          </a:extLst>
        </xdr:cNvPr>
        <xdr:cNvGrpSpPr/>
      </xdr:nvGrpSpPr>
      <xdr:grpSpPr>
        <a:xfrm>
          <a:off x="9594058" y="6461126"/>
          <a:ext cx="1588291" cy="250824"/>
          <a:chOff x="9946299" y="697707"/>
          <a:chExt cx="985104" cy="238125"/>
        </a:xfrm>
      </xdr:grpSpPr>
      <xdr:sp macro="" textlink="">
        <xdr:nvSpPr>
          <xdr:cNvPr id="80" name="Retângulo 4">
            <a:extLst>
              <a:ext uri="{FF2B5EF4-FFF2-40B4-BE49-F238E27FC236}">
                <a16:creationId xmlns:a16="http://schemas.microsoft.com/office/drawing/2014/main" id="{F34F7A41-80A9-C9FB-2E66-8651DBDC955F}"/>
              </a:ext>
            </a:extLst>
          </xdr:cNvPr>
          <xdr:cNvSpPr/>
        </xdr:nvSpPr>
        <xdr:spPr>
          <a:xfrm>
            <a:off x="9983665" y="697707"/>
            <a:ext cx="947738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INVESTIMENTOS</a:t>
            </a:r>
          </a:p>
        </xdr:txBody>
      </xdr:sp>
      <xdr:cxnSp macro="">
        <xdr:nvCxnSpPr>
          <xdr:cNvPr id="82" name="Conector reto 15">
            <a:extLst>
              <a:ext uri="{FF2B5EF4-FFF2-40B4-BE49-F238E27FC236}">
                <a16:creationId xmlns:a16="http://schemas.microsoft.com/office/drawing/2014/main" id="{7A2EA28A-EB50-F5D1-8411-781B61030260}"/>
              </a:ext>
            </a:extLst>
          </xdr:cNvPr>
          <xdr:cNvCxnSpPr/>
        </xdr:nvCxnSpPr>
        <xdr:spPr>
          <a:xfrm flipH="1">
            <a:off x="9946299" y="816768"/>
            <a:ext cx="288000" cy="0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171450</xdr:colOff>
      <xdr:row>36</xdr:row>
      <xdr:rowOff>63500</xdr:rowOff>
    </xdr:from>
    <xdr:to>
      <xdr:col>18</xdr:col>
      <xdr:colOff>165100</xdr:colOff>
      <xdr:row>45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78896-A56C-4D2D-B5D5-EC89EF614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520700</xdr:colOff>
      <xdr:row>27</xdr:row>
      <xdr:rowOff>44450</xdr:rowOff>
    </xdr:from>
    <xdr:to>
      <xdr:col>12</xdr:col>
      <xdr:colOff>139700</xdr:colOff>
      <xdr:row>28</xdr:row>
      <xdr:rowOff>120650</xdr:rowOff>
    </xdr:to>
    <xdr:pic>
      <xdr:nvPicPr>
        <xdr:cNvPr id="4" name="Graphic 3" descr="Signal with solid fill">
          <a:extLst>
            <a:ext uri="{FF2B5EF4-FFF2-40B4-BE49-F238E27FC236}">
              <a16:creationId xmlns:a16="http://schemas.microsoft.com/office/drawing/2014/main" id="{A4D91D44-B510-450A-965C-C68113138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150100" y="5022850"/>
          <a:ext cx="260350" cy="260350"/>
        </a:xfrm>
        <a:prstGeom prst="rect">
          <a:avLst/>
        </a:prstGeom>
      </xdr:spPr>
    </xdr:pic>
    <xdr:clientData/>
  </xdr:twoCellAnchor>
  <xdr:twoCellAnchor>
    <xdr:from>
      <xdr:col>1</xdr:col>
      <xdr:colOff>63153</xdr:colOff>
      <xdr:row>20</xdr:row>
      <xdr:rowOff>161925</xdr:rowOff>
    </xdr:from>
    <xdr:to>
      <xdr:col>11</xdr:col>
      <xdr:colOff>228600</xdr:colOff>
      <xdr:row>34</xdr:row>
      <xdr:rowOff>22905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C41B70DB-EF61-8835-8AA6-B54171283F3C}"/>
            </a:ext>
          </a:extLst>
        </xdr:cNvPr>
        <xdr:cNvGrpSpPr/>
      </xdr:nvGrpSpPr>
      <xdr:grpSpPr>
        <a:xfrm>
          <a:off x="387003" y="3851275"/>
          <a:ext cx="6470997" cy="2439080"/>
          <a:chOff x="387003" y="3851275"/>
          <a:chExt cx="6470997" cy="2439080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90525" y="3851275"/>
            <a:ext cx="6467475" cy="239077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1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SUPORTE!D16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533190" y="3886200"/>
            <a:ext cx="1087841" cy="3281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18A5E3FE-8E5D-4FCE-AC5A-03C1E11FD6F8}" type="TxLink">
              <a:rPr lang="en-US" sz="1600" b="1" i="0" u="none" strike="noStrike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AGOSTO</a:t>
            </a:fld>
            <a:endParaRPr lang="pt-BR" sz="16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>
            <a:off x="744156" y="4422775"/>
            <a:ext cx="1275286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1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SALDO DO MÊS:</a:t>
            </a:r>
          </a:p>
        </xdr:txBody>
      </xdr:sp>
      <xdr:sp macro="" textlink="SUPORTE!D17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387003" y="4600575"/>
            <a:ext cx="1812183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D74BC171-1B3E-4450-8DFB-94071951B752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R$ 746,00 </a:t>
            </a:fld>
            <a:endParaRPr lang="pt-BR" sz="20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323401" y="4594225"/>
            <a:ext cx="773930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r"/>
            <a:r>
              <a:rPr lang="pt-BR" sz="1100" b="1">
                <a:solidFill>
                  <a:srgbClr val="41C77E"/>
                </a:solidFill>
                <a:latin typeface="Ubuntu" panose="020B0504030602030204" pitchFamily="34" charset="0"/>
              </a:rPr>
              <a:t>RECEITA</a:t>
            </a:r>
          </a:p>
        </xdr:txBody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4326585" y="5416550"/>
            <a:ext cx="816314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100" b="1">
                <a:solidFill>
                  <a:srgbClr val="FF0000"/>
                </a:solidFill>
                <a:latin typeface="Ubuntu" panose="020B0504030602030204" pitchFamily="34" charset="0"/>
              </a:rPr>
              <a:t>DESPESA</a:t>
            </a:r>
          </a:p>
        </xdr:txBody>
      </xdr:sp>
      <xdr:sp macro="" textlink="SUPORTE!D19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4962072" y="4483100"/>
            <a:ext cx="1803617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27A8AE76-1AA0-4834-A99D-F63C0788B521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R$3.450,00 </a:t>
            </a:fld>
            <a:endParaRPr lang="pt-BR" sz="20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399090" y="3908425"/>
            <a:ext cx="1286699" cy="2986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4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MÊS</a:t>
            </a:r>
            <a:r>
              <a:rPr lang="pt-BR" sz="14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 ATUAL: </a:t>
            </a:r>
            <a:endParaRPr lang="pt-BR" sz="14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</a:endParaRPr>
          </a:p>
        </xdr:txBody>
      </xdr:sp>
      <xdr:cxnSp macro="">
        <xdr:nvCxnSpPr>
          <xdr:cNvPr id="34" name="Conector reto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441921" y="4241800"/>
            <a:ext cx="6347549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5" name="Gráfico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aphicFramePr>
            <a:graphicFrameLocks/>
          </xdr:cNvGraphicFramePr>
        </xdr:nvGraphicFramePr>
        <xdr:xfrm>
          <a:off x="2243635" y="4203700"/>
          <a:ext cx="2004489" cy="20866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SUPORTE!F17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2772523" y="4972050"/>
            <a:ext cx="942281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/>
            <a:fld id="{8622F821-BBED-44A2-9260-F9C305701E8D}" type="TxLink">
              <a:rPr lang="en-US" sz="20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67%</a:t>
            </a:fld>
            <a:endParaRPr lang="pt-BR" sz="20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2787000" y="5248275"/>
            <a:ext cx="882742" cy="2691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pt-BR" sz="1200" b="1">
                <a:solidFill>
                  <a:schemeClr val="bg1">
                    <a:lumMod val="75000"/>
                  </a:schemeClr>
                </a:solidFill>
                <a:latin typeface="Ubuntu" panose="020B0504030602030204" pitchFamily="34" charset="0"/>
              </a:rPr>
              <a:t>DA META</a:t>
            </a:r>
          </a:p>
        </xdr:txBody>
      </xdr:sp>
      <xdr:sp macro="" textlink="">
        <xdr:nvSpPr>
          <xdr:cNvPr id="102" name="CaixaDeTexto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 txBox="1"/>
        </xdr:nvSpPr>
        <xdr:spPr>
          <a:xfrm>
            <a:off x="3790878" y="3930650"/>
            <a:ext cx="1394421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1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COMPARAR COM:</a:t>
            </a:r>
          </a:p>
        </xdr:txBody>
      </xdr:sp>
      <xdr:grpSp>
        <xdr:nvGrpSpPr>
          <xdr:cNvPr id="106" name="Agrupar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GrpSpPr/>
        </xdr:nvGrpSpPr>
        <xdr:grpSpPr>
          <a:xfrm>
            <a:off x="4336727" y="4869510"/>
            <a:ext cx="2489523" cy="1055040"/>
            <a:chOff x="4254548" y="4609160"/>
            <a:chExt cx="2768174" cy="1055040"/>
          </a:xfrm>
        </xdr:grpSpPr>
        <mc:AlternateContent xmlns:mc="http://schemas.openxmlformats.org/markup-compatibility/2006">
          <mc:Choice xmlns:a14="http://schemas.microsoft.com/office/drawing/2010/main" Requires="a14">
            <xdr:pic>
              <xdr:nvPicPr>
                <xdr:cNvPr id="105" name="Imagem 104">
                  <a:extLst>
                    <a:ext uri="{FF2B5EF4-FFF2-40B4-BE49-F238E27FC236}">
                      <a16:creationId xmlns:a16="http://schemas.microsoft.com/office/drawing/2014/main" id="{00000000-0008-0000-0200-000069000000}"/>
                    </a:ext>
                  </a:extLst>
                </xdr:cNvPr>
                <xdr:cNvPicPr>
                  <a:picLocks noChangeAspect="1"/>
                  <a:extLst>
                    <a:ext uri="{84589F7E-364E-4C9E-8A38-B11213B215E9}">
                      <a14:cameraTool cellRange="SUPORTE!$N$19:$O$19" spid="_x0000_s30518"/>
                    </a:ext>
                  </a:extLst>
                </xdr:cNvPicPr>
              </xdr:nvPicPr>
              <xdr:blipFill>
                <a:blip xmlns:r="http://schemas.openxmlformats.org/officeDocument/2006/relationships" r:embed="rId14"/>
                <a:stretch>
                  <a:fillRect/>
                </a:stretch>
              </xdr:blipFill>
              <xdr:spPr>
                <a:xfrm>
                  <a:off x="4254548" y="4616450"/>
                  <a:ext cx="1584000" cy="211200"/>
                </a:xfrm>
                <a:prstGeom prst="rect">
                  <a:avLst/>
                </a:prstGeom>
              </xdr:spPr>
            </xdr:pic>
          </mc:Choice>
          <mc:Fallback/>
        </mc:AlternateContent>
        <xdr:sp macro="" textlink="SUPORTE!N16">
          <xdr:nvSpPr>
            <xdr:cNvPr id="101" name="CaixaDeTexto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>
              <a:off x="5164967" y="4609160"/>
              <a:ext cx="1857755" cy="2101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:fld id="{4D3AE333-5A26-43CF-84EF-13226EB45F12}" type="TxLink">
                <a:rPr lang="en-US" sz="800" b="1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EM RELAÇÃO À JULHO</a:t>
              </a:fld>
              <a:endParaRPr lang="pt-BR" sz="800" b="1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SUPORTE!N16">
          <xdr:nvSpPr>
            <xdr:cNvPr id="157" name="CaixaDeTexto 156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 txBox="1"/>
          </xdr:nvSpPr>
          <xdr:spPr>
            <a:xfrm>
              <a:off x="5155441" y="5450742"/>
              <a:ext cx="1824916" cy="2134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:fld id="{FAA2D3FB-E366-42B5-9028-5B98B63ACDE4}" type="TxLink">
                <a:rPr lang="en-US" sz="800" b="1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EM RELAÇÃO À JULHO</a:t>
              </a:fld>
              <a:endParaRPr lang="pt-BR" sz="800" b="1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pic>
            <xdr:nvPicPr>
              <xdr:cNvPr id="115" name="Imagem 114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PicPr>
                <a:picLocks noChangeAspect="1"/>
                <a:extLst>
                  <a:ext uri="{84589F7E-364E-4C9E-8A38-B11213B215E9}">
                    <a14:cameraTool cellRange="SUPORTE!$N$20:$O$20" spid="_x0000_s30519"/>
                  </a:ext>
                </a:extLst>
              </xdr:cNvPicPr>
            </xdr:nvPicPr>
            <xdr:blipFill>
              <a:blip xmlns:r="http://schemas.openxmlformats.org/officeDocument/2006/relationships" r:embed="rId15"/>
              <a:stretch>
                <a:fillRect/>
              </a:stretch>
            </xdr:blipFill>
            <xdr:spPr>
              <a:xfrm>
                <a:off x="4336726" y="5709014"/>
                <a:ext cx="1424551" cy="211200"/>
              </a:xfrm>
              <a:prstGeom prst="rect">
                <a:avLst/>
              </a:prstGeom>
              <a:ln>
                <a:noFill/>
              </a:ln>
            </xdr:spPr>
          </xdr:pic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Drop Down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500-000001200000}"/>
                  </a:ext>
                </a:extLst>
              </xdr:cNvPr>
              <xdr:cNvSpPr/>
            </xdr:nvSpPr>
            <xdr:spPr bwMode="auto">
              <a:xfrm>
                <a:off x="5213350" y="3898900"/>
                <a:ext cx="1524723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pic>
        <xdr:nvPicPr>
          <xdr:cNvPr id="8195" name="Imagem 8194">
            <a:extLst>
              <a:ext uri="{FF2B5EF4-FFF2-40B4-BE49-F238E27FC236}">
                <a16:creationId xmlns:a16="http://schemas.microsoft.com/office/drawing/2014/main" id="{00000000-0008-0000-0200-000003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28053" y="4661276"/>
            <a:ext cx="142430" cy="158373"/>
          </a:xfrm>
          <a:prstGeom prst="rect">
            <a:avLst/>
          </a:prstGeom>
        </xdr:spPr>
      </xdr:pic>
      <xdr:pic>
        <xdr:nvPicPr>
          <xdr:cNvPr id="132" name="Imagem 131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228053" y="5464552"/>
            <a:ext cx="150996" cy="167898"/>
          </a:xfrm>
          <a:prstGeom prst="rect">
            <a:avLst/>
          </a:prstGeom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158" name="Imagem 157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PicPr>
                <a:picLocks/>
                <a:extLst>
                  <a:ext uri="{84589F7E-364E-4C9E-8A38-B11213B215E9}">
                    <a14:cameraTool cellRange="SUPORTE!S17" spid="_x0000_s30520"/>
                  </a:ext>
                </a:extLst>
              </xdr:cNvPicPr>
            </xdr:nvPicPr>
            <xdr:blipFill>
              <a:blip xmlns:r="http://schemas.openxmlformats.org/officeDocument/2006/relationships" r:embed="rId18"/>
              <a:stretch>
                <a:fillRect/>
              </a:stretch>
            </xdr:blipFill>
            <xdr:spPr>
              <a:xfrm>
                <a:off x="580471" y="5730882"/>
                <a:ext cx="1172017" cy="208800"/>
              </a:xfrm>
              <a:prstGeom prst="rect">
                <a:avLst/>
              </a:prstGeom>
            </xdr:spPr>
          </xdr:pic>
        </mc:Choice>
        <mc:Fallback/>
      </mc:AlternateContent>
      <xdr:pic>
        <xdr:nvPicPr>
          <xdr:cNvPr id="13" name="Imagem 239">
            <a:extLst>
              <a:ext uri="{FF2B5EF4-FFF2-40B4-BE49-F238E27FC236}">
                <a16:creationId xmlns:a16="http://schemas.microsoft.com/office/drawing/2014/main" id="{7F78FC7A-DB61-471B-8016-458439FB05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0" y="4454525"/>
            <a:ext cx="186387" cy="170900"/>
          </a:xfrm>
          <a:prstGeom prst="rect">
            <a:avLst/>
          </a:prstGeom>
        </xdr:spPr>
      </xdr:pic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C3440021-6A7A-EA48-1E0A-2B756191FFBE}"/>
              </a:ext>
            </a:extLst>
          </xdr:cNvPr>
          <xdr:cNvGrpSpPr/>
        </xdr:nvGrpSpPr>
        <xdr:grpSpPr>
          <a:xfrm>
            <a:off x="422275" y="5099050"/>
            <a:ext cx="1838325" cy="599754"/>
            <a:chOff x="422275" y="5099050"/>
            <a:chExt cx="1838325" cy="599754"/>
          </a:xfrm>
        </xdr:grpSpPr>
        <xdr:sp macro="" textlink="">
          <xdr:nvSpPr>
            <xdr:cNvPr id="6" name="CaixaDeTexto 24">
              <a:extLst>
                <a:ext uri="{FF2B5EF4-FFF2-40B4-BE49-F238E27FC236}">
                  <a16:creationId xmlns:a16="http://schemas.microsoft.com/office/drawing/2014/main" id="{3FD02146-968D-48CD-A840-567B097864BD}"/>
                </a:ext>
              </a:extLst>
            </xdr:cNvPr>
            <xdr:cNvSpPr txBox="1"/>
          </xdr:nvSpPr>
          <xdr:spPr>
            <a:xfrm>
              <a:off x="741328" y="5121275"/>
              <a:ext cx="1519272" cy="254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l"/>
              <a:r>
                <a:rPr lang="pt-BR" sz="11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INVESTIDO NO MÊS:</a:t>
              </a:r>
            </a:p>
          </xdr:txBody>
        </xdr:sp>
        <xdr:sp macro="" textlink="SUPORTE!D21">
          <xdr:nvSpPr>
            <xdr:cNvPr id="14" name="CaixaDeTexto 25">
              <a:extLst>
                <a:ext uri="{FF2B5EF4-FFF2-40B4-BE49-F238E27FC236}">
                  <a16:creationId xmlns:a16="http://schemas.microsoft.com/office/drawing/2014/main" id="{407369DA-3694-419B-833E-7493142AD16C}"/>
                </a:ext>
              </a:extLst>
            </xdr:cNvPr>
            <xdr:cNvSpPr txBox="1"/>
          </xdr:nvSpPr>
          <xdr:spPr>
            <a:xfrm>
              <a:off x="422275" y="5311775"/>
              <a:ext cx="1812183" cy="3870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indent="0" algn="l"/>
              <a:fld id="{E129D01A-F0C9-404A-9A7E-F71FA00A2713}" type="TxLink">
                <a:rPr lang="en-US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 R$200,00 </a:t>
              </a:fld>
              <a:endParaRPr lang="pt-BR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pic>
          <xdr:nvPicPr>
            <xdr:cNvPr id="15" name="Graphic 14" descr="Signal with solid fill">
              <a:extLst>
                <a:ext uri="{FF2B5EF4-FFF2-40B4-BE49-F238E27FC236}">
                  <a16:creationId xmlns:a16="http://schemas.microsoft.com/office/drawing/2014/main" id="{A2BAD662-B126-420C-AF54-CF62C1025F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>
              <a:extLst>
                <a:ext uri="{96DAC541-7B7A-43D3-8B79-37D633B846F1}">
                  <asvg:svgBlip xmlns:asvg="http://schemas.microsoft.com/office/drawing/2016/SVG/main" r:embed="rId12"/>
                </a:ext>
              </a:extLst>
            </a:blip>
            <a:stretch>
              <a:fillRect/>
            </a:stretch>
          </xdr:blipFill>
          <xdr:spPr>
            <a:xfrm>
              <a:off x="546100" y="5099050"/>
              <a:ext cx="260350" cy="2603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4</xdr:col>
      <xdr:colOff>317500</xdr:colOff>
      <xdr:row>0</xdr:row>
      <xdr:rowOff>101600</xdr:rowOff>
    </xdr:from>
    <xdr:to>
      <xdr:col>7</xdr:col>
      <xdr:colOff>304800</xdr:colOff>
      <xdr:row>3</xdr:row>
      <xdr:rowOff>95250</xdr:rowOff>
    </xdr:to>
    <xdr:grpSp>
      <xdr:nvGrpSpPr>
        <xdr:cNvPr id="54" name="Group 5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A6B2B00-66F0-03B2-5FA7-3DD37D634DF1}"/>
            </a:ext>
          </a:extLst>
        </xdr:cNvPr>
        <xdr:cNvGrpSpPr/>
      </xdr:nvGrpSpPr>
      <xdr:grpSpPr>
        <a:xfrm>
          <a:off x="2457450" y="101600"/>
          <a:ext cx="1911350" cy="552450"/>
          <a:chOff x="2457450" y="101600"/>
          <a:chExt cx="1911350" cy="55245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248409E-5430-4B89-9ED7-E498FAF0CEE5}"/>
              </a:ext>
            </a:extLst>
          </xdr:cNvPr>
          <xdr:cNvSpPr/>
        </xdr:nvSpPr>
        <xdr:spPr>
          <a:xfrm>
            <a:off x="24574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9" name="Graphic 18" descr="Badge Follow with solid fill">
            <a:extLst>
              <a:ext uri="{FF2B5EF4-FFF2-40B4-BE49-F238E27FC236}">
                <a16:creationId xmlns:a16="http://schemas.microsoft.com/office/drawing/2014/main" id="{585DF671-9B81-46D0-9442-81FEC87678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5082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34CD8F5F-33E8-4A0A-B81D-42EBA129A377}"/>
              </a:ext>
            </a:extLst>
          </xdr:cNvPr>
          <xdr:cNvSpPr txBox="1"/>
        </xdr:nvSpPr>
        <xdr:spPr>
          <a:xfrm>
            <a:off x="27114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393700</xdr:colOff>
      <xdr:row>0</xdr:row>
      <xdr:rowOff>127000</xdr:rowOff>
    </xdr:from>
    <xdr:to>
      <xdr:col>10</xdr:col>
      <xdr:colOff>381000</xdr:colOff>
      <xdr:row>3</xdr:row>
      <xdr:rowOff>76200</xdr:rowOff>
    </xdr:to>
    <xdr:grpSp>
      <xdr:nvGrpSpPr>
        <xdr:cNvPr id="55" name="Group 5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C098E6C-3AAC-8058-FCD5-D80ADE5293E7}"/>
            </a:ext>
          </a:extLst>
        </xdr:cNvPr>
        <xdr:cNvGrpSpPr/>
      </xdr:nvGrpSpPr>
      <xdr:grpSpPr>
        <a:xfrm>
          <a:off x="4457700" y="127000"/>
          <a:ext cx="1911350" cy="508000"/>
          <a:chOff x="4457700" y="127000"/>
          <a:chExt cx="1911350" cy="5080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49A8FEC-CC30-45AC-8D12-845EA0FFAA49}"/>
              </a:ext>
            </a:extLst>
          </xdr:cNvPr>
          <xdr:cNvSpPr/>
        </xdr:nvSpPr>
        <xdr:spPr>
          <a:xfrm>
            <a:off x="4457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44572DE-127F-488E-B4C9-1033A6BB175B}"/>
              </a:ext>
            </a:extLst>
          </xdr:cNvPr>
          <xdr:cNvSpPr txBox="1"/>
        </xdr:nvSpPr>
        <xdr:spPr>
          <a:xfrm>
            <a:off x="47371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3" name="Graphic 22" descr="Badge Unfollow with solid fill">
            <a:extLst>
              <a:ext uri="{FF2B5EF4-FFF2-40B4-BE49-F238E27FC236}">
                <a16:creationId xmlns:a16="http://schemas.microsoft.com/office/drawing/2014/main" id="{D09F0544-17EA-4814-9F2A-911BF50434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45275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469900</xdr:colOff>
      <xdr:row>0</xdr:row>
      <xdr:rowOff>107950</xdr:rowOff>
    </xdr:from>
    <xdr:to>
      <xdr:col>13</xdr:col>
      <xdr:colOff>457200</xdr:colOff>
      <xdr:row>3</xdr:row>
      <xdr:rowOff>82550</xdr:rowOff>
    </xdr:to>
    <xdr:grpSp>
      <xdr:nvGrpSpPr>
        <xdr:cNvPr id="56" name="Group 5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A198F09-600F-FA48-9880-06A95C0648A1}"/>
            </a:ext>
          </a:extLst>
        </xdr:cNvPr>
        <xdr:cNvGrpSpPr/>
      </xdr:nvGrpSpPr>
      <xdr:grpSpPr>
        <a:xfrm>
          <a:off x="6457950" y="107950"/>
          <a:ext cx="1911350" cy="533400"/>
          <a:chOff x="6457950" y="107950"/>
          <a:chExt cx="1911350" cy="533400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9E95174-4FA2-4B7B-85F3-0D312733281C}"/>
              </a:ext>
            </a:extLst>
          </xdr:cNvPr>
          <xdr:cNvSpPr/>
        </xdr:nvSpPr>
        <xdr:spPr>
          <a:xfrm>
            <a:off x="64579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E699E86-E177-4C51-9E0E-55CD6F6AE757}"/>
              </a:ext>
            </a:extLst>
          </xdr:cNvPr>
          <xdr:cNvSpPr txBox="1"/>
        </xdr:nvSpPr>
        <xdr:spPr>
          <a:xfrm>
            <a:off x="6731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2" name="Graphic 31" descr="Pie chart with solid fill">
            <a:extLst>
              <a:ext uri="{FF2B5EF4-FFF2-40B4-BE49-F238E27FC236}">
                <a16:creationId xmlns:a16="http://schemas.microsoft.com/office/drawing/2014/main" id="{49AD83DE-9EAA-4084-9D6F-B0D693914D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96DAC541-7B7A-43D3-8B79-37D633B846F1}">
                <asvg:svgBlip xmlns:asvg="http://schemas.microsoft.com/office/drawing/2016/SVG/main" r:embed="rId28"/>
              </a:ext>
            </a:extLst>
          </a:blip>
          <a:stretch>
            <a:fillRect/>
          </a:stretch>
        </xdr:blipFill>
        <xdr:spPr>
          <a:xfrm>
            <a:off x="65278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552450</xdr:colOff>
      <xdr:row>0</xdr:row>
      <xdr:rowOff>107950</xdr:rowOff>
    </xdr:from>
    <xdr:to>
      <xdr:col>16</xdr:col>
      <xdr:colOff>539750</xdr:colOff>
      <xdr:row>3</xdr:row>
      <xdr:rowOff>82550</xdr:rowOff>
    </xdr:to>
    <xdr:grpSp>
      <xdr:nvGrpSpPr>
        <xdr:cNvPr id="57" name="Group 5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38F8BD3-EB3C-F8CE-C158-86161C9600D1}"/>
            </a:ext>
          </a:extLst>
        </xdr:cNvPr>
        <xdr:cNvGrpSpPr/>
      </xdr:nvGrpSpPr>
      <xdr:grpSpPr>
        <a:xfrm>
          <a:off x="8464550" y="107950"/>
          <a:ext cx="1911350" cy="533400"/>
          <a:chOff x="8464550" y="107950"/>
          <a:chExt cx="1911350" cy="533400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FCEF71E-34DB-4F64-909A-8C281F337DF8}"/>
              </a:ext>
            </a:extLst>
          </xdr:cNvPr>
          <xdr:cNvSpPr/>
        </xdr:nvSpPr>
        <xdr:spPr>
          <a:xfrm>
            <a:off x="84645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6E646A7A-2F5A-480B-8D6C-61698DD1ABD1}"/>
              </a:ext>
            </a:extLst>
          </xdr:cNvPr>
          <xdr:cNvSpPr txBox="1"/>
        </xdr:nvSpPr>
        <xdr:spPr>
          <a:xfrm>
            <a:off x="8737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40" name="Graphic 39" descr="Gauge with solid fill">
            <a:extLst>
              <a:ext uri="{FF2B5EF4-FFF2-40B4-BE49-F238E27FC236}">
                <a16:creationId xmlns:a16="http://schemas.microsoft.com/office/drawing/2014/main" id="{3EE7EC4E-D2B2-434C-9871-ABE97ED54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5788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628650</xdr:colOff>
      <xdr:row>0</xdr:row>
      <xdr:rowOff>107950</xdr:rowOff>
    </xdr:from>
    <xdr:to>
      <xdr:col>19</xdr:col>
      <xdr:colOff>615950</xdr:colOff>
      <xdr:row>3</xdr:row>
      <xdr:rowOff>82550</xdr:rowOff>
    </xdr:to>
    <xdr:grpSp>
      <xdr:nvGrpSpPr>
        <xdr:cNvPr id="58" name="Group 5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CCB9E7C-F97F-1C9C-110C-105B2DD86D3B}"/>
            </a:ext>
          </a:extLst>
        </xdr:cNvPr>
        <xdr:cNvGrpSpPr/>
      </xdr:nvGrpSpPr>
      <xdr:grpSpPr>
        <a:xfrm>
          <a:off x="10464800" y="107950"/>
          <a:ext cx="1911350" cy="533400"/>
          <a:chOff x="10464800" y="107950"/>
          <a:chExt cx="1911350" cy="533400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2A35072-7A5A-45EE-9350-C2F7B59ACA09}"/>
              </a:ext>
            </a:extLst>
          </xdr:cNvPr>
          <xdr:cNvSpPr/>
        </xdr:nvSpPr>
        <xdr:spPr>
          <a:xfrm>
            <a:off x="104648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8E5F8141-6BF8-4588-B005-D83D35695447}"/>
              </a:ext>
            </a:extLst>
          </xdr:cNvPr>
          <xdr:cNvSpPr txBox="1"/>
        </xdr:nvSpPr>
        <xdr:spPr>
          <a:xfrm>
            <a:off x="107378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43" name="Graphic 42" descr="Daily calendar with solid fill">
            <a:extLst>
              <a:ext uri="{FF2B5EF4-FFF2-40B4-BE49-F238E27FC236}">
                <a16:creationId xmlns:a16="http://schemas.microsoft.com/office/drawing/2014/main" id="{C4AF736F-1BA3-4DBE-AC4D-AA8FC4527E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96DAC541-7B7A-43D3-8B79-37D633B846F1}">
                <asvg:svgBlip xmlns:asvg="http://schemas.microsoft.com/office/drawing/2016/SVG/main" r:embed="rId34"/>
              </a:ext>
            </a:extLst>
          </a:blip>
          <a:stretch>
            <a:fillRect/>
          </a:stretch>
        </xdr:blipFill>
        <xdr:spPr>
          <a:xfrm>
            <a:off x="105410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63500</xdr:colOff>
      <xdr:row>0</xdr:row>
      <xdr:rowOff>107950</xdr:rowOff>
    </xdr:from>
    <xdr:to>
      <xdr:col>23</xdr:col>
      <xdr:colOff>50800</xdr:colOff>
      <xdr:row>3</xdr:row>
      <xdr:rowOff>82550</xdr:rowOff>
    </xdr:to>
    <xdr:grpSp>
      <xdr:nvGrpSpPr>
        <xdr:cNvPr id="59" name="Group 5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41A6AA4-A926-45A7-E1E3-99FF78728B7D}"/>
            </a:ext>
          </a:extLst>
        </xdr:cNvPr>
        <xdr:cNvGrpSpPr/>
      </xdr:nvGrpSpPr>
      <xdr:grpSpPr>
        <a:xfrm>
          <a:off x="12465050" y="107950"/>
          <a:ext cx="1911350" cy="533400"/>
          <a:chOff x="12465050" y="107950"/>
          <a:chExt cx="1911350" cy="533400"/>
        </a:xfrm>
      </xdr:grpSpPr>
      <xdr:sp macro="" textlink="">
        <xdr:nvSpPr>
          <xdr:cNvPr id="44" name="Rectangle 4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AA19C19C-98D2-44B6-9EE6-FAB7A0F25F04}"/>
              </a:ext>
            </a:extLst>
          </xdr:cNvPr>
          <xdr:cNvSpPr/>
        </xdr:nvSpPr>
        <xdr:spPr>
          <a:xfrm>
            <a:off x="124650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7BB20F33-8887-46C4-AFB9-3CD107133C26}"/>
              </a:ext>
            </a:extLst>
          </xdr:cNvPr>
          <xdr:cNvSpPr txBox="1"/>
        </xdr:nvSpPr>
        <xdr:spPr>
          <a:xfrm>
            <a:off x="127381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8CD584E1-556C-4493-8ED3-E3A1752F3FFC}"/>
              </a:ext>
            </a:extLst>
          </xdr:cNvPr>
          <xdr:cNvGrpSpPr/>
        </xdr:nvGrpSpPr>
        <xdr:grpSpPr>
          <a:xfrm>
            <a:off x="125539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49" name="Graphic 48" descr="Magnifying glass with solid fill">
              <a:extLst>
                <a:ext uri="{FF2B5EF4-FFF2-40B4-BE49-F238E27FC236}">
                  <a16:creationId xmlns:a16="http://schemas.microsoft.com/office/drawing/2014/main" id="{789983DB-9F45-2BF8-1F22-1E50225C03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>
              <a:extLst>
                <a:ext uri="{96DAC541-7B7A-43D3-8B79-37D633B846F1}">
                  <asvg:svgBlip xmlns:asvg="http://schemas.microsoft.com/office/drawing/2016/SVG/main" r:embed="rId37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50" name="Graphic 49" descr="Add outline">
              <a:extLst>
                <a:ext uri="{FF2B5EF4-FFF2-40B4-BE49-F238E27FC236}">
                  <a16:creationId xmlns:a16="http://schemas.microsoft.com/office/drawing/2014/main" id="{DE35A2DF-ECB5-C6D4-21BD-CFCA8149193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8">
              <a:extLst>
                <a:ext uri="{96DAC541-7B7A-43D3-8B79-37D633B846F1}">
                  <asvg:svgBlip xmlns:asvg="http://schemas.microsoft.com/office/drawing/2016/SVG/main" r:embed="rId39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23</xdr:col>
      <xdr:colOff>146050</xdr:colOff>
      <xdr:row>0</xdr:row>
      <xdr:rowOff>107950</xdr:rowOff>
    </xdr:from>
    <xdr:to>
      <xdr:col>26</xdr:col>
      <xdr:colOff>133350</xdr:colOff>
      <xdr:row>3</xdr:row>
      <xdr:rowOff>82550</xdr:rowOff>
    </xdr:to>
    <xdr:grpSp>
      <xdr:nvGrpSpPr>
        <xdr:cNvPr id="60" name="Group 5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4141B3A4-C7AF-7AC9-CA0D-472D08683BA5}"/>
            </a:ext>
          </a:extLst>
        </xdr:cNvPr>
        <xdr:cNvGrpSpPr/>
      </xdr:nvGrpSpPr>
      <xdr:grpSpPr>
        <a:xfrm>
          <a:off x="14471650" y="107950"/>
          <a:ext cx="1911350" cy="533400"/>
          <a:chOff x="14471650" y="107950"/>
          <a:chExt cx="1911350" cy="533400"/>
        </a:xfrm>
      </xdr:grpSpPr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21D0B60-5A24-4493-AE55-4D7DFD3BE185}"/>
              </a:ext>
            </a:extLst>
          </xdr:cNvPr>
          <xdr:cNvSpPr/>
        </xdr:nvSpPr>
        <xdr:spPr>
          <a:xfrm>
            <a:off x="144716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5877E8CB-65ED-40FF-AEA3-82208DD364FC}"/>
              </a:ext>
            </a:extLst>
          </xdr:cNvPr>
          <xdr:cNvSpPr txBox="1"/>
        </xdr:nvSpPr>
        <xdr:spPr>
          <a:xfrm>
            <a:off x="147447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608E7F7F-6A60-4A3D-9C98-0F74C40C3382}"/>
              </a:ext>
            </a:extLst>
          </xdr:cNvPr>
          <xdr:cNvGrpSpPr/>
        </xdr:nvGrpSpPr>
        <xdr:grpSpPr>
          <a:xfrm>
            <a:off x="1457325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52" name="Graphic 51" descr="Magnifying glass with solid fill">
              <a:extLst>
                <a:ext uri="{FF2B5EF4-FFF2-40B4-BE49-F238E27FC236}">
                  <a16:creationId xmlns:a16="http://schemas.microsoft.com/office/drawing/2014/main" id="{35A3AA0E-1EFC-96B8-3FDF-81A715FE79F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>
              <a:extLst>
                <a:ext uri="{96DAC541-7B7A-43D3-8B79-37D633B846F1}">
                  <asvg:svgBlip xmlns:asvg="http://schemas.microsoft.com/office/drawing/2016/SVG/main" r:embed="rId3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53" name="Graphic 52" descr="Badge Unfollow outline">
              <a:extLst>
                <a:ext uri="{FF2B5EF4-FFF2-40B4-BE49-F238E27FC236}">
                  <a16:creationId xmlns:a16="http://schemas.microsoft.com/office/drawing/2014/main" id="{71B9C991-D769-ACB4-29F8-C2B9DAC9EF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>
              <a:extLst>
                <a:ext uri="{96DAC541-7B7A-43D3-8B79-37D633B846F1}">
                  <asvg:svgBlip xmlns:asvg="http://schemas.microsoft.com/office/drawing/2016/SVG/main" r:embed="rId42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8</xdr:row>
      <xdr:rowOff>76200</xdr:rowOff>
    </xdr:from>
    <xdr:to>
      <xdr:col>18</xdr:col>
      <xdr:colOff>158750</xdr:colOff>
      <xdr:row>32</xdr:row>
      <xdr:rowOff>142875</xdr:rowOff>
    </xdr:to>
    <xdr:sp macro="" textlink="">
      <xdr:nvSpPr>
        <xdr:cNvPr id="71" name="Retângulo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400049" y="1555750"/>
          <a:ext cx="11195051" cy="448627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9797"/>
            </a:solidFill>
          </a:endParaRPr>
        </a:p>
      </xdr:txBody>
    </xdr:sp>
    <xdr:clientData/>
  </xdr:twoCellAnchor>
  <xdr:twoCellAnchor>
    <xdr:from>
      <xdr:col>1</xdr:col>
      <xdr:colOff>219074</xdr:colOff>
      <xdr:row>18</xdr:row>
      <xdr:rowOff>123829</xdr:rowOff>
    </xdr:from>
    <xdr:to>
      <xdr:col>5</xdr:col>
      <xdr:colOff>520700</xdr:colOff>
      <xdr:row>20</xdr:row>
      <xdr:rowOff>67381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542924" y="3444879"/>
          <a:ext cx="3076576" cy="311852"/>
          <a:chOff x="219075" y="3362325"/>
          <a:chExt cx="2377154" cy="323850"/>
        </a:xfrm>
      </xdr:grpSpPr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500-000048000000}"/>
              </a:ext>
            </a:extLst>
          </xdr:cNvPr>
          <xdr:cNvSpPr txBox="1"/>
        </xdr:nvSpPr>
        <xdr:spPr>
          <a:xfrm>
            <a:off x="219075" y="3362325"/>
            <a:ext cx="2339533" cy="294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300" b="1">
                <a:solidFill>
                  <a:srgbClr val="2FA163"/>
                </a:solidFill>
                <a:latin typeface="Ubuntu" panose="020B0504030602030204" pitchFamily="34" charset="0"/>
              </a:rPr>
              <a:t>TOP 3 CATEGORIAS DE RECEITAS</a:t>
            </a:r>
          </a:p>
        </xdr:txBody>
      </xdr:sp>
      <xdr:cxnSp macro="">
        <xdr:nvCxnSpPr>
          <xdr:cNvPr id="73" name="Conector reto 72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CxnSpPr/>
        </xdr:nvCxnSpPr>
        <xdr:spPr>
          <a:xfrm flipV="1">
            <a:off x="219075" y="3682145"/>
            <a:ext cx="2377154" cy="4030"/>
          </a:xfrm>
          <a:prstGeom prst="line">
            <a:avLst/>
          </a:prstGeom>
          <a:ln>
            <a:solidFill>
              <a:srgbClr val="7AD8A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</xdr:colOff>
      <xdr:row>9</xdr:row>
      <xdr:rowOff>52387</xdr:rowOff>
    </xdr:from>
    <xdr:to>
      <xdr:col>9</xdr:col>
      <xdr:colOff>365125</xdr:colOff>
      <xdr:row>20</xdr:row>
      <xdr:rowOff>109537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</xdr:colOff>
      <xdr:row>18</xdr:row>
      <xdr:rowOff>114303</xdr:rowOff>
    </xdr:from>
    <xdr:to>
      <xdr:col>16</xdr:col>
      <xdr:colOff>31753</xdr:colOff>
      <xdr:row>20</xdr:row>
      <xdr:rowOff>57855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6308725" y="3435353"/>
          <a:ext cx="3876678" cy="311852"/>
          <a:chOff x="6162674" y="2066925"/>
          <a:chExt cx="1961777" cy="323850"/>
        </a:xfrm>
      </xdr:grpSpPr>
      <xdr:sp macro="" textlink="">
        <xdr:nvSpPr>
          <xdr:cNvPr id="75" name="CaixaDeTexto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SpPr txBox="1"/>
        </xdr:nvSpPr>
        <xdr:spPr>
          <a:xfrm>
            <a:off x="6162675" y="2066925"/>
            <a:ext cx="1961776" cy="294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pt-BR" sz="1300" b="1">
                <a:solidFill>
                  <a:srgbClr val="FF5353"/>
                </a:solidFill>
                <a:latin typeface="Ubuntu" panose="020B0504030602030204" pitchFamily="34" charset="0"/>
              </a:rPr>
              <a:t>TOP 3</a:t>
            </a:r>
            <a:r>
              <a:rPr lang="pt-BR" sz="1300" b="1" baseline="0">
                <a:solidFill>
                  <a:srgbClr val="FF5353"/>
                </a:solidFill>
                <a:latin typeface="Ubuntu" panose="020B0504030602030204" pitchFamily="34" charset="0"/>
              </a:rPr>
              <a:t> CATEGORIAS DE </a:t>
            </a:r>
            <a:r>
              <a:rPr lang="pt-BR" sz="1300" b="1">
                <a:solidFill>
                  <a:srgbClr val="FF5353"/>
                </a:solidFill>
                <a:latin typeface="Ubuntu" panose="020B0504030602030204" pitchFamily="34" charset="0"/>
              </a:rPr>
              <a:t>DESPESAS</a:t>
            </a:r>
          </a:p>
        </xdr:txBody>
      </xdr:sp>
      <xdr:cxnSp macro="">
        <xdr:nvCxnSpPr>
          <xdr:cNvPr id="76" name="Conector reto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CxnSpPr/>
        </xdr:nvCxnSpPr>
        <xdr:spPr>
          <a:xfrm flipV="1">
            <a:off x="6162674" y="2383449"/>
            <a:ext cx="1598662" cy="7326"/>
          </a:xfrm>
          <a:prstGeom prst="line">
            <a:avLst/>
          </a:prstGeom>
          <a:ln>
            <a:solidFill>
              <a:srgbClr val="FF979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51902</xdr:colOff>
      <xdr:row>12</xdr:row>
      <xdr:rowOff>71437</xdr:rowOff>
    </xdr:from>
    <xdr:to>
      <xdr:col>5</xdr:col>
      <xdr:colOff>28572</xdr:colOff>
      <xdr:row>16</xdr:row>
      <xdr:rowOff>18749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1017102" y="2287587"/>
          <a:ext cx="2110270" cy="683912"/>
          <a:chOff x="979384" y="1250755"/>
          <a:chExt cx="2005495" cy="704912"/>
        </a:xfrm>
      </xdr:grpSpPr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 txBox="1"/>
        </xdr:nvSpPr>
        <xdr:spPr>
          <a:xfrm>
            <a:off x="1471552" y="1250755"/>
            <a:ext cx="713336" cy="2802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r"/>
            <a:r>
              <a:rPr lang="pt-BR" sz="1200" b="1">
                <a:solidFill>
                  <a:srgbClr val="41C77E"/>
                </a:solidFill>
                <a:latin typeface="Ubuntu" panose="020B0504030602030204" pitchFamily="34" charset="0"/>
              </a:rPr>
              <a:t>RECEITA</a:t>
            </a:r>
          </a:p>
        </xdr:txBody>
      </xdr:sp>
      <xdr:sp macro="" textlink="SUPORTE!C29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/>
        </xdr:nvSpPr>
        <xdr:spPr>
          <a:xfrm>
            <a:off x="979384" y="1487654"/>
            <a:ext cx="2005495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11DA82BF-7386-434F-82E3-5ACBC4FEF278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R$3.450,00 </a:t>
            </a:fld>
            <a:endParaRPr lang="pt-BR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4622" y="1343402"/>
            <a:ext cx="108000" cy="1080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375756</xdr:colOff>
      <xdr:row>12</xdr:row>
      <xdr:rowOff>74612</xdr:rowOff>
    </xdr:from>
    <xdr:to>
      <xdr:col>13</xdr:col>
      <xdr:colOff>552450</xdr:colOff>
      <xdr:row>16</xdr:row>
      <xdr:rowOff>15574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GrpSpPr/>
      </xdr:nvGrpSpPr>
      <xdr:grpSpPr>
        <a:xfrm>
          <a:off x="6681306" y="2290762"/>
          <a:ext cx="2100744" cy="677562"/>
          <a:chOff x="6683049" y="1752600"/>
          <a:chExt cx="2005494" cy="698367"/>
        </a:xfrm>
      </xdr:grpSpPr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 txBox="1"/>
        </xdr:nvSpPr>
        <xdr:spPr>
          <a:xfrm>
            <a:off x="7103040" y="1752600"/>
            <a:ext cx="75238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200" b="1">
                <a:solidFill>
                  <a:srgbClr val="FF0000"/>
                </a:solidFill>
                <a:latin typeface="Ubuntu" panose="020B0504030602030204" pitchFamily="34" charset="0"/>
              </a:rPr>
              <a:t>DESPESA</a:t>
            </a:r>
          </a:p>
        </xdr:txBody>
      </xdr:sp>
      <xdr:sp macro="" textlink="SUPORTE!C30">
        <xdr:nvSpPr>
          <xdr:cNvPr id="27" name="CaixaDeTexto 2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>
          <a:xfrm>
            <a:off x="6683049" y="1982954"/>
            <a:ext cx="2005494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23BB768B-8C92-419D-BFD9-E86F6A0363A3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R$2.504,00 </a:t>
            </a:fld>
            <a:endParaRPr lang="pt-BR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48500" y="1838702"/>
            <a:ext cx="108000" cy="10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266701</xdr:colOff>
      <xdr:row>21</xdr:row>
      <xdr:rowOff>182561</xdr:rowOff>
    </xdr:from>
    <xdr:to>
      <xdr:col>8</xdr:col>
      <xdr:colOff>25589</xdr:colOff>
      <xdr:row>29</xdr:row>
      <xdr:rowOff>178883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590551" y="4056061"/>
          <a:ext cx="4457888" cy="1469522"/>
          <a:chOff x="428625" y="4933950"/>
          <a:chExt cx="5336437" cy="1524683"/>
        </a:xfrm>
      </xdr:grpSpPr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523875" y="5238405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1</a:t>
            </a:r>
          </a:p>
        </xdr:txBody>
      </xdr:sp>
      <xdr:sp macro="" textlink="SUPORTE!L29">
        <xdr:nvSpPr>
          <xdr:cNvPr id="32" name="CaixaDeTexto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 txBox="1"/>
        </xdr:nvSpPr>
        <xdr:spPr>
          <a:xfrm>
            <a:off x="800098" y="5199292"/>
            <a:ext cx="2781350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fld id="{9579F3DF-2C1E-463F-A596-17426E338989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cs typeface="Calibri"/>
              </a:rPr>
              <a:pPr algn="l"/>
              <a:t>SALÁRIO</a:t>
            </a:fld>
            <a:endParaRPr lang="pt-BR" sz="12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SUPORTE!M29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/>
        </xdr:nvSpPr>
        <xdr:spPr>
          <a:xfrm>
            <a:off x="3510669" y="5199292"/>
            <a:ext cx="121129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6AF1ECD1-0A7E-4852-B69C-F1D962BE5A48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R$ 3.450,00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/>
        </xdr:nvSpPr>
        <xdr:spPr>
          <a:xfrm>
            <a:off x="819150" y="4933950"/>
            <a:ext cx="1153731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CATEGORIA</a:t>
            </a:r>
          </a:p>
        </xdr:txBody>
      </xdr:sp>
      <xdr:sp macro="" textlink="">
        <xdr:nvSpPr>
          <xdr:cNvPr id="35" name="CaixaDeTexto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 txBox="1"/>
        </xdr:nvSpPr>
        <xdr:spPr>
          <a:xfrm>
            <a:off x="3529722" y="4933950"/>
            <a:ext cx="779388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VALOR</a:t>
            </a:r>
          </a:p>
        </xdr:txBody>
      </xdr: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/>
        </xdr:nvSpPr>
        <xdr:spPr>
          <a:xfrm>
            <a:off x="552449" y="4933950"/>
            <a:ext cx="333738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#</a:t>
            </a: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/>
        </xdr:nvSpPr>
        <xdr:spPr>
          <a:xfrm>
            <a:off x="5177548" y="4933950"/>
            <a:ext cx="369047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%</a:t>
            </a:r>
          </a:p>
        </xdr:txBody>
      </xdr:sp>
      <xdr:sp macro="" textlink="SUPORTE!N29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 txBox="1"/>
        </xdr:nvSpPr>
        <xdr:spPr>
          <a:xfrm>
            <a:off x="5101346" y="5214937"/>
            <a:ext cx="663716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874BE0D-507A-4916-BA62-6E3E4EC7CF39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100%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428625" y="5308773"/>
            <a:ext cx="123825" cy="123825"/>
          </a:xfrm>
          <a:prstGeom prst="rect">
            <a:avLst/>
          </a:prstGeom>
          <a:solidFill>
            <a:srgbClr val="32A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523875" y="5571780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2</a:t>
            </a:r>
          </a:p>
        </xdr:txBody>
      </xdr:sp>
      <xdr:sp macro="" textlink="SUPORTE!L30">
        <xdr:nvSpPr>
          <xdr:cNvPr id="40" name="CaixaDeTexto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800098" y="5532667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A176AFD-1E52-43CE-A0BA-768E5F43C161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IMÓVEIS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0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 txBox="1"/>
        </xdr:nvSpPr>
        <xdr:spPr>
          <a:xfrm>
            <a:off x="3510670" y="5532667"/>
            <a:ext cx="1066382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75096925-C672-444A-80F5-1ABB2B9C41B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0">
        <xdr:nvSpPr>
          <xdr:cNvPr id="42" name="CaixaDeTexto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/>
        </xdr:nvSpPr>
        <xdr:spPr>
          <a:xfrm>
            <a:off x="5101344" y="5548312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B7D4E20F-3468-474E-BBAB-8448FDE43F1E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43" name="Retângulo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/>
        </xdr:nvSpPr>
        <xdr:spPr>
          <a:xfrm>
            <a:off x="428625" y="5642148"/>
            <a:ext cx="123825" cy="123825"/>
          </a:xfrm>
          <a:prstGeom prst="rect">
            <a:avLst/>
          </a:prstGeom>
          <a:solidFill>
            <a:srgbClr val="41C77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523875" y="5895630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3</a:t>
            </a:r>
          </a:p>
        </xdr:txBody>
      </xdr:sp>
      <xdr:sp macro="" textlink="SUPORTE!L31">
        <xdr:nvSpPr>
          <xdr:cNvPr id="46" name="CaixaDeTexto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/>
        </xdr:nvSpPr>
        <xdr:spPr>
          <a:xfrm>
            <a:off x="800098" y="5856517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4A8119E-BAB0-4664-B40E-C00CE4D4041B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RENDA EXTRA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1">
        <xdr:nvSpPr>
          <xdr:cNvPr id="47" name="CaixaDeTexto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 txBox="1"/>
        </xdr:nvSpPr>
        <xdr:spPr>
          <a:xfrm>
            <a:off x="3510670" y="5856517"/>
            <a:ext cx="1047354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9FB728CA-5F1E-4E3A-82C6-C19D9E902597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1">
        <xdr:nvSpPr>
          <xdr:cNvPr id="48" name="CaixaDeTexto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5101344" y="5872162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8FB7D03A-67A7-4D85-A205-2E4D7F9E4155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49" name="Retângulo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/>
        </xdr:nvSpPr>
        <xdr:spPr>
          <a:xfrm>
            <a:off x="428625" y="5965998"/>
            <a:ext cx="123825" cy="123825"/>
          </a:xfrm>
          <a:prstGeom prst="rect">
            <a:avLst/>
          </a:prstGeom>
          <a:solidFill>
            <a:srgbClr val="91DF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/>
        </xdr:nvSpPr>
        <xdr:spPr>
          <a:xfrm>
            <a:off x="523875" y="6209955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4</a:t>
            </a:r>
          </a:p>
        </xdr:txBody>
      </xdr:sp>
      <xdr:sp macro="" textlink="SUPORTE!L32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 txBox="1"/>
        </xdr:nvSpPr>
        <xdr:spPr>
          <a:xfrm>
            <a:off x="800098" y="6170842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669DE639-4D96-43EF-9DD7-708CACB8D875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DEMAIS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2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 txBox="1"/>
        </xdr:nvSpPr>
        <xdr:spPr>
          <a:xfrm>
            <a:off x="3510668" y="6170842"/>
            <a:ext cx="1066384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3B9236A-1A7E-4CFD-899C-DA1F87AAB6BF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2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/>
        </xdr:nvSpPr>
        <xdr:spPr>
          <a:xfrm>
            <a:off x="5101342" y="6186487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514A876F-5568-4EB9-9ED6-DC5E50CDFA23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54" name="Retângulo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/>
        </xdr:nvSpPr>
        <xdr:spPr>
          <a:xfrm>
            <a:off x="428625" y="6280323"/>
            <a:ext cx="123825" cy="12382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14</xdr:col>
      <xdr:colOff>307975</xdr:colOff>
      <xdr:row>5</xdr:row>
      <xdr:rowOff>28575</xdr:rowOff>
    </xdr:from>
    <xdr:to>
      <xdr:col>18</xdr:col>
      <xdr:colOff>133350</xdr:colOff>
      <xdr:row>6</xdr:row>
      <xdr:rowOff>149571</xdr:rowOff>
    </xdr:to>
    <xdr:sp macro="" textlink="SUPORTE!C32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9178925" y="955675"/>
          <a:ext cx="2390775" cy="305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fld id="{6B774F8B-7C10-420A-B55E-BB203021D2AD}" type="TxLink">
            <a:rPr lang="en-US" sz="1600" b="1">
              <a:solidFill>
                <a:srgbClr val="32AC69"/>
              </a:solidFill>
              <a:latin typeface="Ubuntu" panose="020B0504030602030204" pitchFamily="34" charset="0"/>
              <a:ea typeface="+mn-ea"/>
              <a:cs typeface="+mn-cs"/>
            </a:rPr>
            <a:pPr marL="0" indent="0"/>
            <a:t> </a:t>
          </a:fld>
          <a:endParaRPr lang="pt-BR" sz="1600" b="1">
            <a:solidFill>
              <a:srgbClr val="32AC69"/>
            </a:solidFill>
            <a:latin typeface="Ubuntu" panose="020B05040306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79374</xdr:colOff>
      <xdr:row>9</xdr:row>
      <xdr:rowOff>52387</xdr:rowOff>
    </xdr:from>
    <xdr:to>
      <xdr:col>18</xdr:col>
      <xdr:colOff>346074</xdr:colOff>
      <xdr:row>20</xdr:row>
      <xdr:rowOff>109537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455613</xdr:colOff>
      <xdr:row>21</xdr:row>
      <xdr:rowOff>182561</xdr:rowOff>
    </xdr:from>
    <xdr:to>
      <xdr:col>17</xdr:col>
      <xdr:colOff>202891</xdr:colOff>
      <xdr:row>29</xdr:row>
      <xdr:rowOff>178883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pSpPr/>
      </xdr:nvGrpSpPr>
      <xdr:grpSpPr>
        <a:xfrm>
          <a:off x="6119813" y="4056061"/>
          <a:ext cx="4878078" cy="1469522"/>
          <a:chOff x="6624638" y="4913313"/>
          <a:chExt cx="5627949" cy="1524683"/>
        </a:xfrm>
      </xdr:grpSpPr>
      <xdr:sp macro="" textlink="">
        <xdr:nvSpPr>
          <xdr:cNvPr id="62" name="CaixaDeTexto 61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6719888" y="5217768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1</a:t>
            </a:r>
          </a:p>
        </xdr:txBody>
      </xdr:sp>
      <xdr:sp macro="" textlink="SUPORTE!L36">
        <xdr:nvSpPr>
          <xdr:cNvPr id="63" name="CaixaDeTexto 62"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6997699" y="5178655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1FC74E19-CA3B-4D0C-9EAF-1E9D3425BD9B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MORADIA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6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10111445" y="5178655"/>
            <a:ext cx="1371617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A9C2EA27-7849-41EF-ACD8-0F1A08138648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R$ 2.165,00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7016750" y="4913313"/>
            <a:ext cx="1184839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CATEGORIA</a:t>
            </a: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10130498" y="4913313"/>
            <a:ext cx="825719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VALOR</a:t>
            </a:r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 txBox="1"/>
        </xdr:nvSpPr>
        <xdr:spPr>
          <a:xfrm>
            <a:off x="6748463" y="4913313"/>
            <a:ext cx="270167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#</a:t>
            </a:r>
          </a:p>
        </xdr:txBody>
      </xdr:sp>
      <xdr:sp macro="" textlink="">
        <xdr:nvSpPr>
          <xdr:cNvPr id="69" name="CaixaDeTexto 68"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SpPr txBox="1"/>
        </xdr:nvSpPr>
        <xdr:spPr>
          <a:xfrm>
            <a:off x="11781485" y="4913313"/>
            <a:ext cx="299642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%</a:t>
            </a:r>
          </a:p>
        </xdr:txBody>
      </xdr:sp>
      <xdr:sp macro="" textlink="SUPORTE!N36">
        <xdr:nvSpPr>
          <xdr:cNvPr id="77" name="CaixaDeTexto 76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/>
        </xdr:nvSpPr>
        <xdr:spPr>
          <a:xfrm>
            <a:off x="11705286" y="5194300"/>
            <a:ext cx="547281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418C5298-1C90-46D3-A44E-3DE71C6EF831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86%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78" name="Retângulo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6624638" y="5288136"/>
            <a:ext cx="123825" cy="123825"/>
          </a:xfrm>
          <a:prstGeom prst="rect">
            <a:avLst/>
          </a:prstGeom>
          <a:solidFill>
            <a:srgbClr val="FF482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 txBox="1"/>
        </xdr:nvSpPr>
        <xdr:spPr>
          <a:xfrm>
            <a:off x="6719888" y="5551143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2</a:t>
            </a:r>
          </a:p>
        </xdr:txBody>
      </xdr:sp>
      <xdr:sp macro="" textlink="SUPORTE!L37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SpPr txBox="1"/>
        </xdr:nvSpPr>
        <xdr:spPr>
          <a:xfrm>
            <a:off x="6997699" y="5512030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516F9F33-E705-4DF7-804C-0C6BF14F35E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TRANSPORTE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7">
        <xdr:nvSpPr>
          <xdr:cNvPr id="81" name="CaixaDeTexto 80">
            <a:extLst>
              <a:ext uri="{FF2B5EF4-FFF2-40B4-BE49-F238E27FC236}">
                <a16:creationId xmlns:a16="http://schemas.microsoft.com/office/drawing/2014/main" id="{00000000-0008-0000-0500-000051000000}"/>
              </a:ext>
            </a:extLst>
          </xdr:cNvPr>
          <xdr:cNvSpPr txBox="1"/>
        </xdr:nvSpPr>
        <xdr:spPr>
          <a:xfrm>
            <a:off x="10111444" y="5512030"/>
            <a:ext cx="13534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5BD852D-39D3-4ACF-929D-CA17C39E0DC2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R$ 339,00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7">
        <xdr:nvSpPr>
          <xdr:cNvPr id="82" name="CaixaDeTexto 81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 txBox="1"/>
        </xdr:nvSpPr>
        <xdr:spPr>
          <a:xfrm>
            <a:off x="11705306" y="5527675"/>
            <a:ext cx="547281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7F574EC-E08E-47E8-940C-BB14F5960204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14%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83" name="Retângulo 82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/>
        </xdr:nvSpPr>
        <xdr:spPr>
          <a:xfrm>
            <a:off x="6624638" y="5621511"/>
            <a:ext cx="123825" cy="123825"/>
          </a:xfrm>
          <a:prstGeom prst="rect">
            <a:avLst/>
          </a:prstGeom>
          <a:solidFill>
            <a:srgbClr val="FF63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84" name="CaixaDeTexto 83">
            <a:extLst>
              <a:ext uri="{FF2B5EF4-FFF2-40B4-BE49-F238E27FC236}">
                <a16:creationId xmlns:a16="http://schemas.microsoft.com/office/drawing/2014/main" id="{00000000-0008-0000-0500-000054000000}"/>
              </a:ext>
            </a:extLst>
          </xdr:cNvPr>
          <xdr:cNvSpPr txBox="1"/>
        </xdr:nvSpPr>
        <xdr:spPr>
          <a:xfrm>
            <a:off x="6719888" y="5874993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3</a:t>
            </a:r>
          </a:p>
        </xdr:txBody>
      </xdr:sp>
      <xdr:sp macro="" textlink="SUPORTE!L38">
        <xdr:nvSpPr>
          <xdr:cNvPr id="85" name="CaixaDeTexto 84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SpPr txBox="1"/>
        </xdr:nvSpPr>
        <xdr:spPr>
          <a:xfrm>
            <a:off x="6997699" y="5835880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DDD6374-B30F-4B29-AC03-C2CCE41C99D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SAÚDE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8">
        <xdr:nvSpPr>
          <xdr:cNvPr id="86" name="CaixaDeTexto 85">
            <a:extLst>
              <a:ext uri="{FF2B5EF4-FFF2-40B4-BE49-F238E27FC236}">
                <a16:creationId xmlns:a16="http://schemas.microsoft.com/office/drawing/2014/main" id="{00000000-0008-0000-0500-000056000000}"/>
              </a:ext>
            </a:extLst>
          </xdr:cNvPr>
          <xdr:cNvSpPr txBox="1"/>
        </xdr:nvSpPr>
        <xdr:spPr>
          <a:xfrm>
            <a:off x="10111445" y="5835880"/>
            <a:ext cx="1286833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9AD636BA-18CE-476F-AB6F-1E325BDB858E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8">
        <xdr:nvSpPr>
          <xdr:cNvPr id="87" name="CaixaDeTexto 86">
            <a:extLst>
              <a:ext uri="{FF2B5EF4-FFF2-40B4-BE49-F238E27FC236}">
                <a16:creationId xmlns:a16="http://schemas.microsoft.com/office/drawing/2014/main" id="{00000000-0008-0000-0500-000057000000}"/>
              </a:ext>
            </a:extLst>
          </xdr:cNvPr>
          <xdr:cNvSpPr txBox="1"/>
        </xdr:nvSpPr>
        <xdr:spPr>
          <a:xfrm>
            <a:off x="11705306" y="5851525"/>
            <a:ext cx="454884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FE750AF-93DB-4525-9F97-DAF3F9CB1DB0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88" name="Retângulo 87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SpPr/>
        </xdr:nvSpPr>
        <xdr:spPr>
          <a:xfrm>
            <a:off x="6624638" y="5945361"/>
            <a:ext cx="123825" cy="123825"/>
          </a:xfrm>
          <a:prstGeom prst="rect">
            <a:avLst/>
          </a:prstGeom>
          <a:solidFill>
            <a:srgbClr val="FF757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89" name="CaixaDeTexto 88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 txBox="1"/>
        </xdr:nvSpPr>
        <xdr:spPr>
          <a:xfrm>
            <a:off x="6719888" y="6189318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4</a:t>
            </a:r>
          </a:p>
        </xdr:txBody>
      </xdr:sp>
      <xdr:sp macro="" textlink="SUPORTE!L39">
        <xdr:nvSpPr>
          <xdr:cNvPr id="90" name="CaixaDeTexto 89">
            <a:extLst>
              <a:ext uri="{FF2B5EF4-FFF2-40B4-BE49-F238E27FC236}">
                <a16:creationId xmlns:a16="http://schemas.microsoft.com/office/drawing/2014/main" id="{00000000-0008-0000-0500-00005A000000}"/>
              </a:ext>
            </a:extLst>
          </xdr:cNvPr>
          <xdr:cNvSpPr txBox="1"/>
        </xdr:nvSpPr>
        <xdr:spPr>
          <a:xfrm>
            <a:off x="6997699" y="6150205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A3CD725B-7004-4213-ADAD-86299E99C169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DEMAIS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9">
        <xdr:nvSpPr>
          <xdr:cNvPr id="91" name="CaixaDeTexto 90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 txBox="1"/>
        </xdr:nvSpPr>
        <xdr:spPr>
          <a:xfrm>
            <a:off x="10111446" y="6150205"/>
            <a:ext cx="1414008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4392372-5A38-432B-B1B8-DE0078C1BC01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9">
        <xdr:nvSpPr>
          <xdr:cNvPr id="92" name="CaixaDeTexto 91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SpPr txBox="1"/>
        </xdr:nvSpPr>
        <xdr:spPr>
          <a:xfrm>
            <a:off x="11705306" y="6165850"/>
            <a:ext cx="454884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34136E8E-2F34-4451-8E0F-5E3669D2EED7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93" name="Retângulo 92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SpPr/>
        </xdr:nvSpPr>
        <xdr:spPr>
          <a:xfrm>
            <a:off x="6624638" y="6259686"/>
            <a:ext cx="123825" cy="12382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9</xdr:col>
      <xdr:colOff>168275</xdr:colOff>
      <xdr:row>10</xdr:row>
      <xdr:rowOff>34925</xdr:rowOff>
    </xdr:from>
    <xdr:to>
      <xdr:col>9</xdr:col>
      <xdr:colOff>168275</xdr:colOff>
      <xdr:row>30</xdr:row>
      <xdr:rowOff>139700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32475" y="1882775"/>
          <a:ext cx="0" cy="37877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196850</xdr:colOff>
      <xdr:row>1</xdr:row>
      <xdr:rowOff>50800</xdr:rowOff>
    </xdr:from>
    <xdr:to>
      <xdr:col>2</xdr:col>
      <xdr:colOff>743569</xdr:colOff>
      <xdr:row>3</xdr:row>
      <xdr:rowOff>31704</xdr:rowOff>
    </xdr:to>
    <xdr:pic>
      <xdr:nvPicPr>
        <xdr:cNvPr id="3" name="Picture 2" descr="Previ Novartis – Seu futuro é o nosso melhor present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241128-AE7F-4423-927E-F1881C13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349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120604</xdr:rowOff>
    </xdr:from>
    <xdr:to>
      <xdr:col>3</xdr:col>
      <xdr:colOff>157800</xdr:colOff>
      <xdr:row>3</xdr:row>
      <xdr:rowOff>182524</xdr:rowOff>
    </xdr:to>
    <xdr:sp macro="" textlink="">
      <xdr:nvSpPr>
        <xdr:cNvPr id="5" name="object 8">
          <a:extLst>
            <a:ext uri="{FF2B5EF4-FFF2-40B4-BE49-F238E27FC236}">
              <a16:creationId xmlns:a16="http://schemas.microsoft.com/office/drawing/2014/main" id="{D10F241C-8D45-4F75-A3DF-FB41F09BF75B}"/>
            </a:ext>
          </a:extLst>
        </xdr:cNvPr>
        <xdr:cNvSpPr/>
      </xdr:nvSpPr>
      <xdr:spPr>
        <a:xfrm>
          <a:off x="368300" y="67940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76200</xdr:colOff>
      <xdr:row>4</xdr:row>
      <xdr:rowOff>171450</xdr:rowOff>
    </xdr:from>
    <xdr:to>
      <xdr:col>18</xdr:col>
      <xdr:colOff>168274</xdr:colOff>
      <xdr:row>7</xdr:row>
      <xdr:rowOff>112413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2EE633CD-3852-6BEF-7A92-C15B4990809E}"/>
            </a:ext>
          </a:extLst>
        </xdr:cNvPr>
        <xdr:cNvGrpSpPr/>
      </xdr:nvGrpSpPr>
      <xdr:grpSpPr>
        <a:xfrm>
          <a:off x="400050" y="914400"/>
          <a:ext cx="11204574" cy="493413"/>
          <a:chOff x="400050" y="914400"/>
          <a:chExt cx="11204574" cy="493413"/>
        </a:xfrm>
      </xdr:grpSpPr>
      <xdr:grpSp>
        <xdr:nvGrpSpPr>
          <xdr:cNvPr id="119" name="Group 118">
            <a:extLst>
              <a:ext uri="{FF2B5EF4-FFF2-40B4-BE49-F238E27FC236}">
                <a16:creationId xmlns:a16="http://schemas.microsoft.com/office/drawing/2014/main" id="{7A561F46-589D-1C2E-A679-F0F667E9FBD2}"/>
              </a:ext>
            </a:extLst>
          </xdr:cNvPr>
          <xdr:cNvGrpSpPr/>
        </xdr:nvGrpSpPr>
        <xdr:grpSpPr>
          <a:xfrm>
            <a:off x="400050" y="914400"/>
            <a:ext cx="11204574" cy="493413"/>
            <a:chOff x="400050" y="914400"/>
            <a:chExt cx="11204574" cy="493413"/>
          </a:xfrm>
        </xdr:grpSpPr>
        <xdr:sp macro="" textlink="">
          <xdr:nvSpPr>
            <xdr:cNvPr id="60" name="Retângulo 59">
              <a:extLst>
                <a:ext uri="{FF2B5EF4-FFF2-40B4-BE49-F238E27FC236}">
                  <a16:creationId xmlns:a16="http://schemas.microsoft.com/office/drawing/2014/main" id="{00000000-0008-0000-0500-00003C000000}"/>
                </a:ext>
              </a:extLst>
            </xdr:cNvPr>
            <xdr:cNvSpPr/>
          </xdr:nvSpPr>
          <xdr:spPr>
            <a:xfrm>
              <a:off x="3228977" y="920750"/>
              <a:ext cx="2339973" cy="4476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45" name="Agrupar 44">
              <a:extLst>
                <a:ext uri="{FF2B5EF4-FFF2-40B4-BE49-F238E27FC236}">
                  <a16:creationId xmlns:a16="http://schemas.microsoft.com/office/drawing/2014/main" id="{00000000-0008-0000-0500-00002D000000}"/>
                </a:ext>
              </a:extLst>
            </xdr:cNvPr>
            <xdr:cNvGrpSpPr/>
          </xdr:nvGrpSpPr>
          <xdr:grpSpPr>
            <a:xfrm>
              <a:off x="400050" y="914400"/>
              <a:ext cx="2705100" cy="447675"/>
              <a:chOff x="123825" y="657225"/>
              <a:chExt cx="2580160" cy="466725"/>
            </a:xfrm>
          </xdr:grpSpPr>
          <xdr:sp macro="" textlink="">
            <xdr:nvSpPr>
              <xdr:cNvPr id="68" name="Retângulo 67">
                <a:extLst>
                  <a:ext uri="{FF2B5EF4-FFF2-40B4-BE49-F238E27FC236}">
                    <a16:creationId xmlns:a16="http://schemas.microsoft.com/office/drawing/2014/main" id="{00000000-0008-0000-0500-000044000000}"/>
                  </a:ext>
                </a:extLst>
              </xdr:cNvPr>
              <xdr:cNvSpPr/>
            </xdr:nvSpPr>
            <xdr:spPr>
              <a:xfrm>
                <a:off x="123825" y="657225"/>
                <a:ext cx="2580160" cy="4667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9221" name="Drop Down 5" hidden="1">
                    <a:extLst>
                      <a:ext uri="{63B3BB69-23CF-44E3-9099-C40C66FF867C}">
                        <a14:compatExt spid="_x0000_s9221"/>
                      </a:ext>
                      <a:ext uri="{FF2B5EF4-FFF2-40B4-BE49-F238E27FC236}">
                        <a16:creationId xmlns:a16="http://schemas.microsoft.com/office/drawing/2014/main" id="{00000000-0008-0000-0600-000005240000}"/>
                      </a:ext>
                    </a:extLst>
                  </xdr:cNvPr>
                  <xdr:cNvSpPr/>
                </xdr:nvSpPr>
                <xdr:spPr bwMode="auto">
                  <a:xfrm>
                    <a:off x="1524204" y="742950"/>
                    <a:ext cx="104775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xdr:sp macro="" textlink="">
            <xdr:nvSpPr>
              <xdr:cNvPr id="70" name="CaixaDeTexto 69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 txBox="1"/>
            </xdr:nvSpPr>
            <xdr:spPr>
              <a:xfrm>
                <a:off x="149811" y="764432"/>
                <a:ext cx="1386466" cy="28063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200" b="1">
                    <a:solidFill>
                      <a:schemeClr val="accent5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ESCOLHA O MÊS:</a:t>
                </a:r>
              </a:p>
            </xdr:txBody>
          </xdr:sp>
        </xdr:grpSp>
        <xdr:sp macro="" textlink="">
          <xdr:nvSpPr>
            <xdr:cNvPr id="55" name="Retângulo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/>
          </xdr:nvSpPr>
          <xdr:spPr>
            <a:xfrm>
              <a:off x="8820149" y="914400"/>
              <a:ext cx="2784475" cy="4635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 txBox="1"/>
          </xdr:nvSpPr>
          <xdr:spPr>
            <a:xfrm>
              <a:off x="3532985" y="1006475"/>
              <a:ext cx="873916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pt-BR" sz="12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Ubuntu" panose="020B0504030602030204" pitchFamily="34" charset="0"/>
                </a:rPr>
                <a:t>SALDO</a:t>
              </a:r>
              <a:r>
                <a:rPr lang="pt-BR" sz="1200" b="1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Ubuntu" panose="020B0504030602030204" pitchFamily="34" charset="0"/>
                </a:rPr>
                <a:t>: </a:t>
              </a:r>
              <a:endParaRPr lang="pt-BR" sz="12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endParaRPr>
            </a:p>
          </xdr:txBody>
        </xdr:sp>
        <xdr:pic>
          <xdr:nvPicPr>
            <xdr:cNvPr id="30" name="Imagem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53" y="1051155"/>
              <a:ext cx="229203" cy="164338"/>
            </a:xfrm>
            <a:prstGeom prst="rect">
              <a:avLst/>
            </a:prstGeom>
          </xdr:spPr>
        </xdr:pic>
        <xdr:pic>
          <xdr:nvPicPr>
            <xdr:cNvPr id="56" name="Imagem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56675" y="1012825"/>
              <a:ext cx="233116" cy="237491"/>
            </a:xfrm>
            <a:prstGeom prst="rect">
              <a:avLst/>
            </a:prstGeom>
          </xdr:spPr>
        </xdr:pic>
        <xdr:sp macro="" textlink="SUPORTE!C31">
          <xdr:nvSpPr>
            <xdr:cNvPr id="57" name="CaixaDeTexto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SpPr txBox="1"/>
          </xdr:nvSpPr>
          <xdr:spPr>
            <a:xfrm>
              <a:off x="4133850" y="958850"/>
              <a:ext cx="1651000" cy="4489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 algn="l"/>
              <a:fld id="{D405D1FE-1B57-42C3-A8FA-73EF19E80A83}" type="TxLink">
                <a:rPr lang="en-US" sz="16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R$ 746,00</a:t>
              </a:fld>
              <a:endParaRPr lang="pt-BR" sz="16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SUPORTE!C33">
          <xdr:nvSpPr>
            <xdr:cNvPr id="59" name="CaixaDeTexto 58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SpPr txBox="1"/>
          </xdr:nvSpPr>
          <xdr:spPr>
            <a:xfrm>
              <a:off x="9258300" y="974725"/>
              <a:ext cx="216535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/>
              <a:fld id="{B664F956-2D3D-4257-A86B-942EF3B645A4}" type="TxLink">
                <a:rPr lang="en-US" sz="1600" b="1" i="0" u="none" strike="noStrike">
                  <a:solidFill>
                    <a:srgbClr val="FF482F"/>
                  </a:solidFill>
                  <a:latin typeface="Ubuntu" panose="020B0504030602030204" pitchFamily="34" charset="0"/>
                  <a:ea typeface="+mn-ea"/>
                  <a:cs typeface="Calibri"/>
                </a:rPr>
                <a:pPr marL="0" indent="0"/>
                <a:t>META NÃO BATIDA!</a:t>
              </a:fld>
              <a:endParaRPr lang="pt-BR" sz="1600" b="1">
                <a:solidFill>
                  <a:srgbClr val="FF482F"/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">
          <xdr:nvSpPr>
            <xdr:cNvPr id="97" name="Retângulo 59">
              <a:extLst>
                <a:ext uri="{FF2B5EF4-FFF2-40B4-BE49-F238E27FC236}">
                  <a16:creationId xmlns:a16="http://schemas.microsoft.com/office/drawing/2014/main" id="{7DA31C10-1E4A-4493-B015-C425D62E4675}"/>
                </a:ext>
              </a:extLst>
            </xdr:cNvPr>
            <xdr:cNvSpPr/>
          </xdr:nvSpPr>
          <xdr:spPr>
            <a:xfrm>
              <a:off x="5699127" y="920750"/>
              <a:ext cx="3000373" cy="4476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sp macro="" textlink="">
        <xdr:nvSpPr>
          <xdr:cNvPr id="98" name="CaixaDeTexto 28">
            <a:extLst>
              <a:ext uri="{FF2B5EF4-FFF2-40B4-BE49-F238E27FC236}">
                <a16:creationId xmlns:a16="http://schemas.microsoft.com/office/drawing/2014/main" id="{8A70D0FE-BAA3-445D-B6D0-3C26FAB5427D}"/>
              </a:ext>
            </a:extLst>
          </xdr:cNvPr>
          <xdr:cNvSpPr txBox="1"/>
        </xdr:nvSpPr>
        <xdr:spPr>
          <a:xfrm>
            <a:off x="5996784" y="1000125"/>
            <a:ext cx="1394615" cy="3051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2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INVESTIMENTOS</a:t>
            </a:r>
            <a:r>
              <a:rPr lang="pt-BR" sz="12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: </a:t>
            </a:r>
            <a:endParaRPr lang="pt-BR" sz="12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8" name="Graphic 7" descr="Signal with solid fill">
            <a:extLst>
              <a:ext uri="{FF2B5EF4-FFF2-40B4-BE49-F238E27FC236}">
                <a16:creationId xmlns:a16="http://schemas.microsoft.com/office/drawing/2014/main" id="{CC116E76-CDCF-92B3-71D0-243568C6CF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791200" y="990600"/>
            <a:ext cx="260350" cy="260350"/>
          </a:xfrm>
          <a:prstGeom prst="rect">
            <a:avLst/>
          </a:prstGeom>
        </xdr:spPr>
      </xdr:pic>
      <xdr:sp macro="" textlink="SUPORTE!C28">
        <xdr:nvSpPr>
          <xdr:cNvPr id="10" name="CaixaDeTexto 56">
            <a:extLst>
              <a:ext uri="{FF2B5EF4-FFF2-40B4-BE49-F238E27FC236}">
                <a16:creationId xmlns:a16="http://schemas.microsoft.com/office/drawing/2014/main" id="{6C3F8221-E8A7-4976-BAFF-F9D8F76A0CE4}"/>
              </a:ext>
            </a:extLst>
          </xdr:cNvPr>
          <xdr:cNvSpPr txBox="1"/>
        </xdr:nvSpPr>
        <xdr:spPr>
          <a:xfrm>
            <a:off x="7321550" y="952500"/>
            <a:ext cx="1530350" cy="4489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5DAAD543-73FE-44D4-AFFE-F666ED6C43C7}" type="TxLink">
              <a:rPr lang="en-US" sz="16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R$200,00 </a:t>
            </a:fld>
            <a:endParaRPr lang="pt-BR" sz="16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635000</xdr:colOff>
      <xdr:row>0</xdr:row>
      <xdr:rowOff>101600</xdr:rowOff>
    </xdr:from>
    <xdr:to>
      <xdr:col>6</xdr:col>
      <xdr:colOff>622300</xdr:colOff>
      <xdr:row>3</xdr:row>
      <xdr:rowOff>95250</xdr:rowOff>
    </xdr:to>
    <xdr:grpSp>
      <xdr:nvGrpSpPr>
        <xdr:cNvPr id="112" name="Group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43526CD-F336-8556-B9D8-7FD7B5FBD2D3}"/>
            </a:ext>
          </a:extLst>
        </xdr:cNvPr>
        <xdr:cNvGrpSpPr/>
      </xdr:nvGrpSpPr>
      <xdr:grpSpPr>
        <a:xfrm>
          <a:off x="2451100" y="101600"/>
          <a:ext cx="1911350" cy="552450"/>
          <a:chOff x="2451100" y="101600"/>
          <a:chExt cx="1911350" cy="55245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B10EB46-56A1-4EF2-923C-0E6928DD22FA}"/>
              </a:ext>
            </a:extLst>
          </xdr:cNvPr>
          <xdr:cNvSpPr/>
        </xdr:nvSpPr>
        <xdr:spPr>
          <a:xfrm>
            <a:off x="24511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Graphic 10" descr="Badge Follow with solid fill">
            <a:extLst>
              <a:ext uri="{FF2B5EF4-FFF2-40B4-BE49-F238E27FC236}">
                <a16:creationId xmlns:a16="http://schemas.microsoft.com/office/drawing/2014/main" id="{AC60B422-FB75-4A9A-B2F9-4FDCE1CE32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250190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E58E4C5-9E99-4D8D-9B39-09A287947F94}"/>
              </a:ext>
            </a:extLst>
          </xdr:cNvPr>
          <xdr:cNvSpPr txBox="1"/>
        </xdr:nvSpPr>
        <xdr:spPr>
          <a:xfrm>
            <a:off x="270510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69850</xdr:colOff>
      <xdr:row>0</xdr:row>
      <xdr:rowOff>127000</xdr:rowOff>
    </xdr:from>
    <xdr:to>
      <xdr:col>10</xdr:col>
      <xdr:colOff>57150</xdr:colOff>
      <xdr:row>3</xdr:row>
      <xdr:rowOff>76200</xdr:rowOff>
    </xdr:to>
    <xdr:grpSp>
      <xdr:nvGrpSpPr>
        <xdr:cNvPr id="113" name="Group 11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E34D5A-2A03-A381-3F9F-92DD2CF86E80}"/>
            </a:ext>
          </a:extLst>
        </xdr:cNvPr>
        <xdr:cNvGrpSpPr/>
      </xdr:nvGrpSpPr>
      <xdr:grpSpPr>
        <a:xfrm>
          <a:off x="4451350" y="127000"/>
          <a:ext cx="1911350" cy="508000"/>
          <a:chOff x="4451350" y="127000"/>
          <a:chExt cx="1911350" cy="50800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ACD8C4CA-8D8F-4AB0-8378-84F1522E31F0}"/>
              </a:ext>
            </a:extLst>
          </xdr:cNvPr>
          <xdr:cNvSpPr/>
        </xdr:nvSpPr>
        <xdr:spPr>
          <a:xfrm>
            <a:off x="44513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7F0B88E-E1B6-443E-B7D5-9061AF97C6C3}"/>
              </a:ext>
            </a:extLst>
          </xdr:cNvPr>
          <xdr:cNvSpPr txBox="1"/>
        </xdr:nvSpPr>
        <xdr:spPr>
          <a:xfrm>
            <a:off x="473075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Badge Unfollow with solid fill">
            <a:extLst>
              <a:ext uri="{FF2B5EF4-FFF2-40B4-BE49-F238E27FC236}">
                <a16:creationId xmlns:a16="http://schemas.microsoft.com/office/drawing/2014/main" id="{AD110052-3E7C-4C7E-B937-CCD5E7990F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452120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146050</xdr:colOff>
      <xdr:row>0</xdr:row>
      <xdr:rowOff>107950</xdr:rowOff>
    </xdr:from>
    <xdr:to>
      <xdr:col>13</xdr:col>
      <xdr:colOff>133350</xdr:colOff>
      <xdr:row>3</xdr:row>
      <xdr:rowOff>82550</xdr:rowOff>
    </xdr:to>
    <xdr:grpSp>
      <xdr:nvGrpSpPr>
        <xdr:cNvPr id="114" name="Group 1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5A2272-5266-98AB-6D5D-E00DDCC18746}"/>
            </a:ext>
          </a:extLst>
        </xdr:cNvPr>
        <xdr:cNvGrpSpPr/>
      </xdr:nvGrpSpPr>
      <xdr:grpSpPr>
        <a:xfrm>
          <a:off x="6451600" y="107950"/>
          <a:ext cx="1911350" cy="533400"/>
          <a:chOff x="6451600" y="10795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5B7F3DB-6BC6-4134-8CDE-89AB9232C856}"/>
              </a:ext>
            </a:extLst>
          </xdr:cNvPr>
          <xdr:cNvSpPr/>
        </xdr:nvSpPr>
        <xdr:spPr>
          <a:xfrm>
            <a:off x="64516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31F897E-0730-46C9-9741-FFEBC38715B7}"/>
              </a:ext>
            </a:extLst>
          </xdr:cNvPr>
          <xdr:cNvSpPr txBox="1"/>
        </xdr:nvSpPr>
        <xdr:spPr>
          <a:xfrm>
            <a:off x="67246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Pie chart with solid fill">
            <a:extLst>
              <a:ext uri="{FF2B5EF4-FFF2-40B4-BE49-F238E27FC236}">
                <a16:creationId xmlns:a16="http://schemas.microsoft.com/office/drawing/2014/main" id="{29FA7587-C031-49B0-9E23-5B43C226DE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52145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228600</xdr:colOff>
      <xdr:row>0</xdr:row>
      <xdr:rowOff>107950</xdr:rowOff>
    </xdr:from>
    <xdr:to>
      <xdr:col>16</xdr:col>
      <xdr:colOff>215900</xdr:colOff>
      <xdr:row>3</xdr:row>
      <xdr:rowOff>82550</xdr:rowOff>
    </xdr:to>
    <xdr:grpSp>
      <xdr:nvGrpSpPr>
        <xdr:cNvPr id="115" name="Group 11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0982B-54C6-CD85-F6FE-BF8017BB092D}"/>
            </a:ext>
          </a:extLst>
        </xdr:cNvPr>
        <xdr:cNvGrpSpPr/>
      </xdr:nvGrpSpPr>
      <xdr:grpSpPr>
        <a:xfrm>
          <a:off x="8458200" y="107950"/>
          <a:ext cx="1911350" cy="533400"/>
          <a:chOff x="8458200" y="10795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6A5DD517-B63A-46F9-8B01-C3731EF1D389}"/>
              </a:ext>
            </a:extLst>
          </xdr:cNvPr>
          <xdr:cNvSpPr/>
        </xdr:nvSpPr>
        <xdr:spPr>
          <a:xfrm>
            <a:off x="84582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C1C65F15-86D5-4AFE-AECD-F8B5CC315252}"/>
              </a:ext>
            </a:extLst>
          </xdr:cNvPr>
          <xdr:cNvSpPr txBox="1"/>
        </xdr:nvSpPr>
        <xdr:spPr>
          <a:xfrm>
            <a:off x="87312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96" name="Graphic 95" descr="Gauge with solid fill">
            <a:extLst>
              <a:ext uri="{FF2B5EF4-FFF2-40B4-BE49-F238E27FC236}">
                <a16:creationId xmlns:a16="http://schemas.microsoft.com/office/drawing/2014/main" id="{6B54C50D-E117-47FC-B8BA-5B0A4050C3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857250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304800</xdr:colOff>
      <xdr:row>0</xdr:row>
      <xdr:rowOff>107950</xdr:rowOff>
    </xdr:from>
    <xdr:to>
      <xdr:col>19</xdr:col>
      <xdr:colOff>292100</xdr:colOff>
      <xdr:row>3</xdr:row>
      <xdr:rowOff>82550</xdr:rowOff>
    </xdr:to>
    <xdr:grpSp>
      <xdr:nvGrpSpPr>
        <xdr:cNvPr id="116" name="Group 11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81809DB-8598-960D-A449-D1F14454BFA9}"/>
            </a:ext>
          </a:extLst>
        </xdr:cNvPr>
        <xdr:cNvGrpSpPr/>
      </xdr:nvGrpSpPr>
      <xdr:grpSpPr>
        <a:xfrm>
          <a:off x="10458450" y="107950"/>
          <a:ext cx="1911350" cy="533400"/>
          <a:chOff x="10458450" y="107950"/>
          <a:chExt cx="1911350" cy="533400"/>
        </a:xfrm>
      </xdr:grpSpPr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91ED3077-45A1-40C3-BB22-E28AE87CFCCA}"/>
              </a:ext>
            </a:extLst>
          </xdr:cNvPr>
          <xdr:cNvSpPr/>
        </xdr:nvSpPr>
        <xdr:spPr>
          <a:xfrm>
            <a:off x="104584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285D6E90-D5F8-4670-8223-F8419400AA29}"/>
              </a:ext>
            </a:extLst>
          </xdr:cNvPr>
          <xdr:cNvSpPr txBox="1"/>
        </xdr:nvSpPr>
        <xdr:spPr>
          <a:xfrm>
            <a:off x="107315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1" name="Graphic 100" descr="Daily calendar with solid fill">
            <a:extLst>
              <a:ext uri="{FF2B5EF4-FFF2-40B4-BE49-F238E27FC236}">
                <a16:creationId xmlns:a16="http://schemas.microsoft.com/office/drawing/2014/main" id="{F014796C-7FD9-462F-ACA0-3F35355D43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1053465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381000</xdr:colOff>
      <xdr:row>0</xdr:row>
      <xdr:rowOff>107950</xdr:rowOff>
    </xdr:from>
    <xdr:to>
      <xdr:col>22</xdr:col>
      <xdr:colOff>368300</xdr:colOff>
      <xdr:row>3</xdr:row>
      <xdr:rowOff>82550</xdr:rowOff>
    </xdr:to>
    <xdr:grpSp>
      <xdr:nvGrpSpPr>
        <xdr:cNvPr id="117" name="Group 11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98153F-00F0-50F0-1C46-CE58FF88097B}"/>
            </a:ext>
          </a:extLst>
        </xdr:cNvPr>
        <xdr:cNvGrpSpPr/>
      </xdr:nvGrpSpPr>
      <xdr:grpSpPr>
        <a:xfrm>
          <a:off x="12458700" y="107950"/>
          <a:ext cx="1911350" cy="533400"/>
          <a:chOff x="12458700" y="107950"/>
          <a:chExt cx="1911350" cy="533400"/>
        </a:xfrm>
      </xdr:grpSpPr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BEA51F07-9CD6-4AEF-95E2-8D1FDFD7D957}"/>
              </a:ext>
            </a:extLst>
          </xdr:cNvPr>
          <xdr:cNvSpPr/>
        </xdr:nvSpPr>
        <xdr:spPr>
          <a:xfrm>
            <a:off x="12458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93E39CA9-B0C0-4EB4-BF5E-D0BBCA8CCCC4}"/>
              </a:ext>
            </a:extLst>
          </xdr:cNvPr>
          <xdr:cNvSpPr txBox="1"/>
        </xdr:nvSpPr>
        <xdr:spPr>
          <a:xfrm>
            <a:off x="127317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106" name="Group 105">
            <a:extLst>
              <a:ext uri="{FF2B5EF4-FFF2-40B4-BE49-F238E27FC236}">
                <a16:creationId xmlns:a16="http://schemas.microsoft.com/office/drawing/2014/main" id="{E09B55B7-CDE5-407F-9B18-47A97DD7268E}"/>
              </a:ext>
            </a:extLst>
          </xdr:cNvPr>
          <xdr:cNvGrpSpPr/>
        </xdr:nvGrpSpPr>
        <xdr:grpSpPr>
          <a:xfrm>
            <a:off x="1254760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07" name="Graphic 106" descr="Magnifying glass with solid fill">
              <a:extLst>
                <a:ext uri="{FF2B5EF4-FFF2-40B4-BE49-F238E27FC236}">
                  <a16:creationId xmlns:a16="http://schemas.microsoft.com/office/drawing/2014/main" id="{C9DD4BA0-B87C-F190-F21D-A5F3C64C32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>
              <a:extLs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108" name="Graphic 107" descr="Add outline">
              <a:extLst>
                <a:ext uri="{FF2B5EF4-FFF2-40B4-BE49-F238E27FC236}">
                  <a16:creationId xmlns:a16="http://schemas.microsoft.com/office/drawing/2014/main" id="{9927CC68-49DF-674E-AA2D-4FA76D4DF6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9">
              <a:extLst>
                <a:ext uri="{96DAC541-7B7A-43D3-8B79-37D633B846F1}">
                  <asvg:svgBlip xmlns:asvg="http://schemas.microsoft.com/office/drawing/2016/SVG/main" r:embed="rId30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463550</xdr:colOff>
      <xdr:row>0</xdr:row>
      <xdr:rowOff>107950</xdr:rowOff>
    </xdr:from>
    <xdr:to>
      <xdr:col>25</xdr:col>
      <xdr:colOff>450850</xdr:colOff>
      <xdr:row>3</xdr:row>
      <xdr:rowOff>82550</xdr:rowOff>
    </xdr:to>
    <xdr:grpSp>
      <xdr:nvGrpSpPr>
        <xdr:cNvPr id="118" name="Group 11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8BCC95C2-3FFF-4C12-84E0-4AA3AD6E593F}"/>
            </a:ext>
          </a:extLst>
        </xdr:cNvPr>
        <xdr:cNvGrpSpPr/>
      </xdr:nvGrpSpPr>
      <xdr:grpSpPr>
        <a:xfrm>
          <a:off x="14465300" y="107950"/>
          <a:ext cx="1911350" cy="533400"/>
          <a:chOff x="14465300" y="107950"/>
          <a:chExt cx="1911350" cy="533400"/>
        </a:xfrm>
      </xdr:grpSpPr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1E3B243B-87D2-4816-8A18-2206E3FB9F80}"/>
              </a:ext>
            </a:extLst>
          </xdr:cNvPr>
          <xdr:cNvSpPr/>
        </xdr:nvSpPr>
        <xdr:spPr>
          <a:xfrm>
            <a:off x="144653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5" name="TextBox 104">
            <a:extLst>
              <a:ext uri="{FF2B5EF4-FFF2-40B4-BE49-F238E27FC236}">
                <a16:creationId xmlns:a16="http://schemas.microsoft.com/office/drawing/2014/main" id="{F9954946-19A1-400C-AF08-B402D8E891CA}"/>
              </a:ext>
            </a:extLst>
          </xdr:cNvPr>
          <xdr:cNvSpPr txBox="1"/>
        </xdr:nvSpPr>
        <xdr:spPr>
          <a:xfrm>
            <a:off x="147383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109" name="Group 108">
            <a:extLst>
              <a:ext uri="{FF2B5EF4-FFF2-40B4-BE49-F238E27FC236}">
                <a16:creationId xmlns:a16="http://schemas.microsoft.com/office/drawing/2014/main" id="{86F98317-FECC-4FB6-9E16-1C6F14CEB2C8}"/>
              </a:ext>
            </a:extLst>
          </xdr:cNvPr>
          <xdr:cNvGrpSpPr/>
        </xdr:nvGrpSpPr>
        <xdr:grpSpPr>
          <a:xfrm>
            <a:off x="1456690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10" name="Graphic 109" descr="Magnifying glass with solid fill">
              <a:extLst>
                <a:ext uri="{FF2B5EF4-FFF2-40B4-BE49-F238E27FC236}">
                  <a16:creationId xmlns:a16="http://schemas.microsoft.com/office/drawing/2014/main" id="{8BE7D175-8D02-7BEE-DC50-2408FC210A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>
              <a:extLs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111" name="Graphic 110" descr="Badge Unfollow outline">
              <a:extLst>
                <a:ext uri="{FF2B5EF4-FFF2-40B4-BE49-F238E27FC236}">
                  <a16:creationId xmlns:a16="http://schemas.microsoft.com/office/drawing/2014/main" id="{994188BF-F9FB-AA66-23E3-48F35FD8CB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2">
              <a:extLst>
                <a:ext uri="{96DAC541-7B7A-43D3-8B79-37D633B846F1}">
                  <asvg:svgBlip xmlns:asvg="http://schemas.microsoft.com/office/drawing/2016/SVG/main" r:embed="rId33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8</xdr:row>
      <xdr:rowOff>85725</xdr:rowOff>
    </xdr:from>
    <xdr:ext cx="184731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366712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absolute">
    <xdr:from>
      <xdr:col>1</xdr:col>
      <xdr:colOff>203200</xdr:colOff>
      <xdr:row>1</xdr:row>
      <xdr:rowOff>57150</xdr:rowOff>
    </xdr:from>
    <xdr:to>
      <xdr:col>2</xdr:col>
      <xdr:colOff>749919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0EFF0-4304-4DC8-AA6D-1BF76607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50800</xdr:colOff>
      <xdr:row>3</xdr:row>
      <xdr:rowOff>126954</xdr:rowOff>
    </xdr:from>
    <xdr:to>
      <xdr:col>3</xdr:col>
      <xdr:colOff>164150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EF006EE3-BCA9-4B50-8F93-0E365284C823}"/>
            </a:ext>
          </a:extLst>
        </xdr:cNvPr>
        <xdr:cNvSpPr/>
      </xdr:nvSpPr>
      <xdr:spPr>
        <a:xfrm>
          <a:off x="3746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51150</xdr:colOff>
      <xdr:row>5</xdr:row>
      <xdr:rowOff>41275</xdr:rowOff>
    </xdr:from>
    <xdr:to>
      <xdr:col>18</xdr:col>
      <xdr:colOff>38102</xdr:colOff>
      <xdr:row>35</xdr:row>
      <xdr:rowOff>69850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E4052B4B-BE05-1BDA-F240-4AC90F838A2D}"/>
            </a:ext>
          </a:extLst>
        </xdr:cNvPr>
        <xdr:cNvGrpSpPr/>
      </xdr:nvGrpSpPr>
      <xdr:grpSpPr>
        <a:xfrm>
          <a:off x="375000" y="968375"/>
          <a:ext cx="11099452" cy="5553075"/>
          <a:chOff x="375000" y="968375"/>
          <a:chExt cx="11099452" cy="5553075"/>
        </a:xfrm>
      </xdr:grpSpPr>
      <xdr:grpSp>
        <xdr:nvGrpSpPr>
          <xdr:cNvPr id="20" name="Agrupar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GrpSpPr/>
        </xdr:nvGrpSpPr>
        <xdr:grpSpPr>
          <a:xfrm>
            <a:off x="375000" y="968375"/>
            <a:ext cx="11099452" cy="5553075"/>
            <a:chOff x="76199" y="676275"/>
            <a:chExt cx="10541911" cy="5553075"/>
          </a:xfrm>
        </xdr:grpSpPr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GrpSpPr/>
          </xdr:nvGrpSpPr>
          <xdr:grpSpPr>
            <a:xfrm>
              <a:off x="76200" y="4143375"/>
              <a:ext cx="10541910" cy="2085975"/>
              <a:chOff x="76200" y="4143375"/>
              <a:chExt cx="10541910" cy="2085975"/>
            </a:xfrm>
          </xdr:grpSpPr>
          <xdr:sp macro="" textlink="">
            <xdr:nvSpPr>
              <xdr:cNvPr id="94" name="Retângulo 93">
                <a:extLst>
                  <a:ext uri="{FF2B5EF4-FFF2-40B4-BE49-F238E27FC236}">
                    <a16:creationId xmlns:a16="http://schemas.microsoft.com/office/drawing/2014/main" id="{00000000-0008-0000-0700-00005E000000}"/>
                  </a:ext>
                </a:extLst>
              </xdr:cNvPr>
              <xdr:cNvSpPr/>
            </xdr:nvSpPr>
            <xdr:spPr>
              <a:xfrm>
                <a:off x="76200" y="4143375"/>
                <a:ext cx="10541910" cy="208597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>
                  <a:solidFill>
                    <a:srgbClr val="FF9797"/>
                  </a:solidFill>
                </a:endParaRPr>
              </a:p>
            </xdr:txBody>
          </xdr:sp>
          <xdr:grpSp>
            <xdr:nvGrpSpPr>
              <xdr:cNvPr id="95" name="Agrupar 94">
                <a:extLst>
                  <a:ext uri="{FF2B5EF4-FFF2-40B4-BE49-F238E27FC236}">
                    <a16:creationId xmlns:a16="http://schemas.microsoft.com/office/drawing/2014/main" id="{00000000-0008-0000-0700-00005F000000}"/>
                  </a:ext>
                </a:extLst>
              </xdr:cNvPr>
              <xdr:cNvGrpSpPr/>
            </xdr:nvGrpSpPr>
            <xdr:grpSpPr>
              <a:xfrm>
                <a:off x="196487" y="4286250"/>
                <a:ext cx="10349984" cy="1906341"/>
                <a:chOff x="196487" y="4286250"/>
                <a:chExt cx="10349984" cy="1906341"/>
              </a:xfrm>
            </xdr:grpSpPr>
            <xdr:graphicFrame macro="">
              <xdr:nvGraphicFramePr>
                <xdr:cNvPr id="96" name="Gráfico 95">
                  <a:extLst>
                    <a:ext uri="{FF2B5EF4-FFF2-40B4-BE49-F238E27FC236}">
                      <a16:creationId xmlns:a16="http://schemas.microsoft.com/office/drawing/2014/main" id="{00000000-0008-0000-0700-000060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96487" y="4387850"/>
                <a:ext cx="8220295" cy="14605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SUPORTE!Q101">
              <xdr:nvSpPr>
                <xdr:cNvPr id="97" name="CaixaDeTexto 96">
                  <a:extLst>
                    <a:ext uri="{FF2B5EF4-FFF2-40B4-BE49-F238E27FC236}">
                      <a16:creationId xmlns:a16="http://schemas.microsoft.com/office/drawing/2014/main" id="{00000000-0008-0000-0700-000061000000}"/>
                    </a:ext>
                  </a:extLst>
                </xdr:cNvPr>
                <xdr:cNvSpPr txBox="1"/>
              </xdr:nvSpPr>
              <xdr:spPr>
                <a:xfrm>
                  <a:off x="10025106" y="5605462"/>
                  <a:ext cx="510276" cy="21018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pPr marL="0" indent="0" algn="r"/>
                  <a:fld id="{E2950029-D577-4755-8DC1-848BF9A64B98}" type="TxLink">
                    <a:rPr lang="en-US" sz="800" b="1" i="0" u="none" strike="noStrike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rPr>
                    <a:pPr marL="0" indent="0" algn="r"/>
                    <a:t>100,0%</a:t>
                  </a:fld>
                  <a:endParaRPr lang="pt-BR" sz="800" b="1" i="0" u="none" strike="noStrike">
                    <a:solidFill>
                      <a:schemeClr val="bg1">
                        <a:lumMod val="6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endParaRPr>
                </a:p>
              </xdr:txBody>
            </xdr:sp>
            <xdr:sp macro="" textlink="">
              <xdr:nvSpPr>
                <xdr:cNvPr id="98" name="CaixaDeTexto 97">
                  <a:extLst>
                    <a:ext uri="{FF2B5EF4-FFF2-40B4-BE49-F238E27FC236}">
                      <a16:creationId xmlns:a16="http://schemas.microsoft.com/office/drawing/2014/main" id="{00000000-0008-0000-0700-000062000000}"/>
                    </a:ext>
                  </a:extLst>
                </xdr:cNvPr>
                <xdr:cNvSpPr txBox="1"/>
              </xdr:nvSpPr>
              <xdr:spPr>
                <a:xfrm>
                  <a:off x="8436677" y="4286250"/>
                  <a:ext cx="2109794" cy="26917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ESCOLHA UMA </a:t>
                  </a:r>
                  <a:r>
                    <a:rPr lang="pt-BR" sz="1200" b="1">
                      <a:solidFill>
                        <a:srgbClr val="32AC69"/>
                      </a:solidFill>
                      <a:latin typeface="Ubuntu" panose="020B0504030602030204" pitchFamily="34" charset="0"/>
                    </a:rPr>
                    <a:t>CATEGORIA</a:t>
                  </a:r>
                </a:p>
              </xdr:txBody>
            </xdr:sp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20481" name="Drop Down 1" hidden="1">
                      <a:extLst>
                        <a:ext uri="{63B3BB69-23CF-44E3-9099-C40C66FF867C}">
                          <a14:compatExt spid="_x0000_s20481"/>
                        </a:ext>
                        <a:ext uri="{FF2B5EF4-FFF2-40B4-BE49-F238E27FC236}">
                          <a16:creationId xmlns:a16="http://schemas.microsoft.com/office/drawing/2014/main" id="{00000000-0008-0000-0700-00000150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8644690" y="4606925"/>
                      <a:ext cx="1409700" cy="2857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mc:Choice>
              <mc:Fallback/>
            </mc:AlternateContent>
            <xdr:sp macro="" textlink="RECEITAS!P25">
              <xdr:nvSpPr>
                <xdr:cNvPr id="99" name="CaixaDeTexto 98">
                  <a:extLst>
                    <a:ext uri="{FF2B5EF4-FFF2-40B4-BE49-F238E27FC236}">
                      <a16:creationId xmlns:a16="http://schemas.microsoft.com/office/drawing/2014/main" id="{00000000-0008-0000-0700-000063000000}"/>
                    </a:ext>
                  </a:extLst>
                </xdr:cNvPr>
                <xdr:cNvSpPr txBox="1"/>
              </xdr:nvSpPr>
              <xdr:spPr>
                <a:xfrm>
                  <a:off x="8090660" y="4965700"/>
                  <a:ext cx="2005494" cy="46801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marL="0" indent="0" algn="r"/>
                  <a:fld id="{16471515-5ADA-49ED-842A-BAB36AE1EB2B}" type="TxLink">
                    <a:rPr lang="en-US" sz="20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+mn-cs"/>
                    </a:rPr>
                    <a:pPr marL="0" indent="0" algn="r"/>
                    <a:t> R$46.460,00 </a:t>
                  </a:fld>
                  <a:endParaRPr lang="pt-BR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100" name="CaixaDeTexto 99">
                  <a:extLst>
                    <a:ext uri="{FF2B5EF4-FFF2-40B4-BE49-F238E27FC236}">
                      <a16:creationId xmlns:a16="http://schemas.microsoft.com/office/drawing/2014/main" id="{00000000-0008-0000-0700-000064000000}"/>
                    </a:ext>
                  </a:extLst>
                </xdr:cNvPr>
                <xdr:cNvSpPr txBox="1"/>
              </xdr:nvSpPr>
              <xdr:spPr>
                <a:xfrm>
                  <a:off x="8457708" y="5254625"/>
                  <a:ext cx="1349985" cy="2645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r"/>
                  <a:r>
                    <a:rPr lang="pt-BR" sz="900" b="1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TOTAL CATEGORIAS</a:t>
                  </a:r>
                </a:p>
              </xdr:txBody>
            </xdr:sp>
            <xdr:grpSp>
              <xdr:nvGrpSpPr>
                <xdr:cNvPr id="101" name="Agrupar 100">
                  <a:extLst>
                    <a:ext uri="{FF2B5EF4-FFF2-40B4-BE49-F238E27FC236}">
                      <a16:creationId xmlns:a16="http://schemas.microsoft.com/office/drawing/2014/main" id="{00000000-0008-0000-0700-000065000000}"/>
                    </a:ext>
                  </a:extLst>
                </xdr:cNvPr>
                <xdr:cNvGrpSpPr/>
              </xdr:nvGrpSpPr>
              <xdr:grpSpPr>
                <a:xfrm>
                  <a:off x="6852322" y="5961308"/>
                  <a:ext cx="1766574" cy="224933"/>
                  <a:chOff x="9052597" y="5132633"/>
                  <a:chExt cx="1766574" cy="224933"/>
                </a:xfrm>
              </xdr:grpSpPr>
              <xdr:cxnSp macro="">
                <xdr:nvCxnSpPr>
                  <xdr:cNvPr id="107" name="Conector reto 106">
                    <a:extLst>
                      <a:ext uri="{FF2B5EF4-FFF2-40B4-BE49-F238E27FC236}">
                        <a16:creationId xmlns:a16="http://schemas.microsoft.com/office/drawing/2014/main" id="{00000000-0008-0000-0700-00006B000000}"/>
                      </a:ext>
                    </a:extLst>
                  </xdr:cNvPr>
                  <xdr:cNvCxnSpPr/>
                </xdr:nvCxnSpPr>
                <xdr:spPr>
                  <a:xfrm>
                    <a:off x="9052597" y="5245099"/>
                    <a:ext cx="266700" cy="0"/>
                  </a:xfrm>
                  <a:prstGeom prst="line">
                    <a:avLst/>
                  </a:prstGeom>
                  <a:ln w="28575">
                    <a:solidFill>
                      <a:schemeClr val="bg1">
                        <a:lumMod val="50000"/>
                      </a:schemeClr>
                    </a:solidFill>
                    <a:prstDash val="sys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08" name="CaixaDeTexto 107">
                    <a:extLst>
                      <a:ext uri="{FF2B5EF4-FFF2-40B4-BE49-F238E27FC236}">
                        <a16:creationId xmlns:a16="http://schemas.microsoft.com/office/drawing/2014/main" id="{00000000-0008-0000-0700-00006C000000}"/>
                      </a:ext>
                    </a:extLst>
                  </xdr:cNvPr>
                  <xdr:cNvSpPr txBox="1"/>
                </xdr:nvSpPr>
                <xdr:spPr>
                  <a:xfrm>
                    <a:off x="9276121" y="5132633"/>
                    <a:ext cx="1543050" cy="2249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>
                    <a:spAutoFit/>
                  </a:bodyPr>
                  <a:lstStyle/>
                  <a:p>
                    <a:pPr algn="l"/>
                    <a:r>
                      <a:rPr lang="pt-BR" sz="900" b="1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</a:rPr>
                      <a:t>CATEGORIA ESCOLHIDA</a:t>
                    </a:r>
                  </a:p>
                </xdr:txBody>
              </xdr:sp>
            </xdr:grpSp>
            <xdr:grpSp>
              <xdr:nvGrpSpPr>
                <xdr:cNvPr id="102" name="Agrupar 101">
                  <a:extLst>
                    <a:ext uri="{FF2B5EF4-FFF2-40B4-BE49-F238E27FC236}">
                      <a16:creationId xmlns:a16="http://schemas.microsoft.com/office/drawing/2014/main" id="{00000000-0008-0000-0700-000066000000}"/>
                    </a:ext>
                  </a:extLst>
                </xdr:cNvPr>
                <xdr:cNvGrpSpPr/>
              </xdr:nvGrpSpPr>
              <xdr:grpSpPr>
                <a:xfrm>
                  <a:off x="5314924" y="5967658"/>
                  <a:ext cx="1679894" cy="224933"/>
                  <a:chOff x="9305899" y="5138983"/>
                  <a:chExt cx="1679894" cy="224933"/>
                </a:xfrm>
              </xdr:grpSpPr>
              <xdr:cxnSp macro="">
                <xdr:nvCxnSpPr>
                  <xdr:cNvPr id="105" name="Conector reto 104">
                    <a:extLst>
                      <a:ext uri="{FF2B5EF4-FFF2-40B4-BE49-F238E27FC236}">
                        <a16:creationId xmlns:a16="http://schemas.microsoft.com/office/drawing/2014/main" id="{00000000-0008-0000-0700-000069000000}"/>
                      </a:ext>
                    </a:extLst>
                  </xdr:cNvPr>
                  <xdr:cNvCxnSpPr/>
                </xdr:nvCxnSpPr>
                <xdr:spPr>
                  <a:xfrm>
                    <a:off x="9305899" y="5257799"/>
                    <a:ext cx="266700" cy="0"/>
                  </a:xfrm>
                  <a:prstGeom prst="line">
                    <a:avLst/>
                  </a:prstGeom>
                  <a:ln w="28575">
                    <a:solidFill>
                      <a:srgbClr val="32AC69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06" name="CaixaDeTexto 105">
                    <a:extLst>
                      <a:ext uri="{FF2B5EF4-FFF2-40B4-BE49-F238E27FC236}">
                        <a16:creationId xmlns:a16="http://schemas.microsoft.com/office/drawing/2014/main" id="{00000000-0008-0000-0700-00006A000000}"/>
                      </a:ext>
                    </a:extLst>
                  </xdr:cNvPr>
                  <xdr:cNvSpPr txBox="1"/>
                </xdr:nvSpPr>
                <xdr:spPr>
                  <a:xfrm>
                    <a:off x="9547518" y="5138983"/>
                    <a:ext cx="1438275" cy="2249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>
                    <a:spAutoFit/>
                  </a:bodyPr>
                  <a:lstStyle/>
                  <a:p>
                    <a:pPr algn="l"/>
                    <a:r>
                      <a:rPr lang="pt-BR" sz="900" b="1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</a:rPr>
                      <a:t>TOTAL CATEGORIAS</a:t>
                    </a:r>
                  </a:p>
                </xdr:txBody>
              </xdr:sp>
            </xdr:grpSp>
            <xdr:sp macro="" textlink="SUPORTE!P101">
              <xdr:nvSpPr>
                <xdr:cNvPr id="103" name="CaixaDeTexto 102">
                  <a:extLst>
                    <a:ext uri="{FF2B5EF4-FFF2-40B4-BE49-F238E27FC236}">
                      <a16:creationId xmlns:a16="http://schemas.microsoft.com/office/drawing/2014/main" id="{00000000-0008-0000-0700-000067000000}"/>
                    </a:ext>
                  </a:extLst>
                </xdr:cNvPr>
                <xdr:cNvSpPr txBox="1"/>
              </xdr:nvSpPr>
              <xdr:spPr>
                <a:xfrm>
                  <a:off x="8120815" y="5499100"/>
                  <a:ext cx="2005494" cy="46801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marL="0" indent="0" algn="r"/>
                  <a:fld id="{BD2CB6B3-2EF2-4D93-AA3E-BBF45ED6C2E0}" type="TxLink">
                    <a:rPr lang="en-US" sz="20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+mn-cs"/>
                    </a:rPr>
                    <a:pPr marL="0" indent="0" algn="r"/>
                    <a:t> R$46.460,00 </a:t>
                  </a:fld>
                  <a:endParaRPr lang="pt-BR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104" name="CaixaDeTexto 103">
                  <a:extLst>
                    <a:ext uri="{FF2B5EF4-FFF2-40B4-BE49-F238E27FC236}">
                      <a16:creationId xmlns:a16="http://schemas.microsoft.com/office/drawing/2014/main" id="{00000000-0008-0000-0700-000068000000}"/>
                    </a:ext>
                  </a:extLst>
                </xdr:cNvPr>
                <xdr:cNvSpPr txBox="1"/>
              </xdr:nvSpPr>
              <xdr:spPr>
                <a:xfrm>
                  <a:off x="8415134" y="5788025"/>
                  <a:ext cx="1700145" cy="2645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r"/>
                  <a:r>
                    <a:rPr lang="pt-BR" sz="900" b="1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ACUMULADO</a:t>
                  </a:r>
                  <a:r>
                    <a:rPr lang="pt-BR" sz="900" b="1" baseline="0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 CATEGORIA</a:t>
                  </a:r>
                  <a:endPara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endParaRPr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GrpSpPr/>
          </xdr:nvGrpSpPr>
          <xdr:grpSpPr>
            <a:xfrm>
              <a:off x="76199" y="676275"/>
              <a:ext cx="10511755" cy="3257550"/>
              <a:chOff x="76199" y="676275"/>
              <a:chExt cx="10511755" cy="3257550"/>
            </a:xfrm>
          </xdr:grpSpPr>
          <xdr:sp macro="" textlink="">
            <xdr:nvSpPr>
              <xdr:cNvPr id="30" name="Retângulo 29">
                <a:extLst>
                  <a:ext uri="{FF2B5EF4-FFF2-40B4-BE49-F238E27FC236}">
                    <a16:creationId xmlns:a16="http://schemas.microsoft.com/office/drawing/2014/main" id="{00000000-0008-0000-0700-00001E000000}"/>
                  </a:ext>
                </a:extLst>
              </xdr:cNvPr>
              <xdr:cNvSpPr/>
            </xdr:nvSpPr>
            <xdr:spPr>
              <a:xfrm>
                <a:off x="76199" y="676275"/>
                <a:ext cx="10511755" cy="325755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>
                  <a:solidFill>
                    <a:srgbClr val="FF9797"/>
                  </a:solidFill>
                </a:endParaRPr>
              </a:p>
            </xdr:txBody>
          </xdr:sp>
          <xdr:sp macro="" textlink="">
            <xdr:nvSpPr>
              <xdr:cNvPr id="31" name="CaixaDeTexto 30">
                <a:extLst>
                  <a:ext uri="{FF2B5EF4-FFF2-40B4-BE49-F238E27FC236}">
                    <a16:creationId xmlns:a16="http://schemas.microsoft.com/office/drawing/2014/main" id="{00000000-0008-0000-0700-00001F000000}"/>
                  </a:ext>
                </a:extLst>
              </xdr:cNvPr>
              <xdr:cNvSpPr txBox="1"/>
            </xdr:nvSpPr>
            <xdr:spPr>
              <a:xfrm>
                <a:off x="114300" y="771525"/>
                <a:ext cx="2731150" cy="29860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TOP 10 MAIORES</a:t>
                </a:r>
                <a:r>
                  <a:rPr lang="pt-BR" sz="1400" b="1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 </a:t>
                </a:r>
                <a:r>
                  <a:rPr lang="pt-BR" sz="1400" b="1" baseline="0">
                    <a:solidFill>
                      <a:srgbClr val="32AC69"/>
                    </a:solidFill>
                    <a:latin typeface="Ubuntu" panose="020B0504030602030204" pitchFamily="34" charset="0"/>
                  </a:rPr>
                  <a:t>RECEITAS</a:t>
                </a:r>
                <a:r>
                  <a:rPr lang="pt-BR" sz="1400" b="1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 EM</a:t>
                </a:r>
                <a:endParaRPr lang="pt-BR" sz="14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endParaRPr>
              </a:p>
            </xdr:txBody>
          </xdr:sp>
          <xdr:cxnSp macro="">
            <xdr:nvCxnSpPr>
              <xdr:cNvPr id="32" name="Conector reto 31">
                <a:extLst>
                  <a:ext uri="{FF2B5EF4-FFF2-40B4-BE49-F238E27FC236}">
                    <a16:creationId xmlns:a16="http://schemas.microsoft.com/office/drawing/2014/main" id="{00000000-0008-0000-0700-000020000000}"/>
                  </a:ext>
                </a:extLst>
              </xdr:cNvPr>
              <xdr:cNvCxnSpPr/>
            </xdr:nvCxnSpPr>
            <xdr:spPr>
              <a:xfrm>
                <a:off x="114300" y="1095375"/>
                <a:ext cx="4714875" cy="0"/>
              </a:xfrm>
              <a:prstGeom prst="line">
                <a:avLst/>
              </a:prstGeom>
              <a:ln>
                <a:solidFill>
                  <a:srgbClr val="41C77E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SUPORTE!C3">
            <xdr:nvSpPr>
              <xdr:cNvPr id="34" name="CaixaDeTexto 33">
                <a:extLst>
                  <a:ext uri="{FF2B5EF4-FFF2-40B4-BE49-F238E27FC236}">
                    <a16:creationId xmlns:a16="http://schemas.microsoft.com/office/drawing/2014/main" id="{00000000-0008-0000-0700-000022000000}"/>
                  </a:ext>
                </a:extLst>
              </xdr:cNvPr>
              <xdr:cNvSpPr txBox="1"/>
            </xdr:nvSpPr>
            <xdr:spPr>
              <a:xfrm>
                <a:off x="2690834" y="765175"/>
                <a:ext cx="600677" cy="3427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marL="0" indent="0"/>
                <a:fld id="{BD95CE4C-7F3A-472E-B5CD-02510DECF2D5}" type="TxLink">
                  <a:rPr lang="en-US" sz="1400" b="1" i="0" u="none" strike="noStrike">
                    <a:solidFill>
                      <a:schemeClr val="bg2">
                        <a:lumMod val="2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/>
                  <a:t>2025</a:t>
                </a:fld>
                <a:endParaRPr lang="pt-BR" sz="1400" b="1">
                  <a:solidFill>
                    <a:schemeClr val="bg2">
                      <a:lumMod val="2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grpSp>
            <xdr:nvGrpSpPr>
              <xdr:cNvPr id="35" name="Agrupar 34">
                <a:extLst>
                  <a:ext uri="{FF2B5EF4-FFF2-40B4-BE49-F238E27FC236}">
                    <a16:creationId xmlns:a16="http://schemas.microsoft.com/office/drawing/2014/main" id="{00000000-0008-0000-0700-000023000000}"/>
                  </a:ext>
                </a:extLst>
              </xdr:cNvPr>
              <xdr:cNvGrpSpPr/>
            </xdr:nvGrpSpPr>
            <xdr:grpSpPr>
              <a:xfrm>
                <a:off x="133350" y="1190625"/>
                <a:ext cx="4621833" cy="2686740"/>
                <a:chOff x="133350" y="1190625"/>
                <a:chExt cx="4621833" cy="2686740"/>
              </a:xfrm>
            </xdr:grpSpPr>
            <xdr:cxnSp macro="">
              <xdr:nvCxnSpPr>
                <xdr:cNvPr id="39" name="Conector reto 38">
                  <a:extLst>
                    <a:ext uri="{FF2B5EF4-FFF2-40B4-BE49-F238E27FC236}">
                      <a16:creationId xmlns:a16="http://schemas.microsoft.com/office/drawing/2014/main" id="{00000000-0008-0000-0700-000027000000}"/>
                    </a:ext>
                  </a:extLst>
                </xdr:cNvPr>
                <xdr:cNvCxnSpPr/>
              </xdr:nvCxnSpPr>
              <xdr:spPr>
                <a:xfrm>
                  <a:off x="190500" y="2428875"/>
                  <a:ext cx="4500000" cy="0"/>
                </a:xfrm>
                <a:prstGeom prst="line">
                  <a:avLst/>
                </a:prstGeom>
                <a:ln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40" name="Agrupar 39">
                  <a:extLst>
                    <a:ext uri="{FF2B5EF4-FFF2-40B4-BE49-F238E27FC236}">
                      <a16:creationId xmlns:a16="http://schemas.microsoft.com/office/drawing/2014/main" id="{00000000-0008-0000-0700-000028000000}"/>
                    </a:ext>
                  </a:extLst>
                </xdr:cNvPr>
                <xdr:cNvGrpSpPr/>
              </xdr:nvGrpSpPr>
              <xdr:grpSpPr>
                <a:xfrm>
                  <a:off x="133350" y="1190625"/>
                  <a:ext cx="4621833" cy="2686740"/>
                  <a:chOff x="133350" y="1190625"/>
                  <a:chExt cx="4621833" cy="2686740"/>
                </a:xfrm>
              </xdr:grpSpPr>
              <xdr:cxnSp macro="">
                <xdr:nvCxnSpPr>
                  <xdr:cNvPr id="41" name="Conector reto 40">
                    <a:extLst>
                      <a:ext uri="{FF2B5EF4-FFF2-40B4-BE49-F238E27FC236}">
                        <a16:creationId xmlns:a16="http://schemas.microsoft.com/office/drawing/2014/main" id="{00000000-0008-0000-0700-000029000000}"/>
                      </a:ext>
                    </a:extLst>
                  </xdr:cNvPr>
                  <xdr:cNvCxnSpPr/>
                </xdr:nvCxnSpPr>
                <xdr:spPr>
                  <a:xfrm>
                    <a:off x="190500" y="195262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42" name="Agrupar 41">
                    <a:extLst>
                      <a:ext uri="{FF2B5EF4-FFF2-40B4-BE49-F238E27FC236}">
                        <a16:creationId xmlns:a16="http://schemas.microsoft.com/office/drawing/2014/main" id="{00000000-0008-0000-0700-00002A000000}"/>
                      </a:ext>
                    </a:extLst>
                  </xdr:cNvPr>
                  <xdr:cNvGrpSpPr/>
                </xdr:nvGrpSpPr>
                <xdr:grpSpPr>
                  <a:xfrm>
                    <a:off x="133350" y="1190625"/>
                    <a:ext cx="4621833" cy="2686740"/>
                    <a:chOff x="133350" y="1190625"/>
                    <a:chExt cx="4621833" cy="2686740"/>
                  </a:xfrm>
                </xdr:grpSpPr>
                <xdr:sp macro="" textlink="">
                  <xdr:nvSpPr>
                    <xdr:cNvPr id="43" name="CaixaDeTexto 42">
                      <a:extLst>
                        <a:ext uri="{FF2B5EF4-FFF2-40B4-BE49-F238E27FC236}">
                          <a16:creationId xmlns:a16="http://schemas.microsoft.com/office/drawing/2014/main" id="{00000000-0008-0000-0700-00002B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4696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1</a:t>
                      </a:r>
                    </a:p>
                  </xdr:txBody>
                </xdr:sp>
                <xdr:sp macro="" textlink="SUPORTE!D87">
                  <xdr:nvSpPr>
                    <xdr:cNvPr id="44" name="CaixaDeTexto 43">
                      <a:extLst>
                        <a:ext uri="{FF2B5EF4-FFF2-40B4-BE49-F238E27FC236}">
                          <a16:creationId xmlns:a16="http://schemas.microsoft.com/office/drawing/2014/main" id="{00000000-0008-0000-0700-00002C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46866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EDAD4E21-A1BB-4D6E-B83B-5797378333F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SALÁRIO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7">
                  <xdr:nvSpPr>
                    <xdr:cNvPr id="45" name="CaixaDeTexto 44">
                      <a:extLst>
                        <a:ext uri="{FF2B5EF4-FFF2-40B4-BE49-F238E27FC236}">
                          <a16:creationId xmlns:a16="http://schemas.microsoft.com/office/drawing/2014/main" id="{00000000-0008-0000-0700-00002D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9" y="1468667"/>
                      <a:ext cx="100356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50DE4922-B53F-496F-BC43-F9C761DA19BF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R$37.300,00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46" name="CaixaDeTexto 45">
                      <a:extLst>
                        <a:ext uri="{FF2B5EF4-FFF2-40B4-BE49-F238E27FC236}">
                          <a16:creationId xmlns:a16="http://schemas.microsoft.com/office/drawing/2014/main" id="{00000000-0008-0000-0700-00002E000000}"/>
                        </a:ext>
                      </a:extLst>
                    </xdr:cNvPr>
                    <xdr:cNvSpPr txBox="1"/>
                  </xdr:nvSpPr>
                  <xdr:spPr>
                    <a:xfrm>
                      <a:off x="410531" y="1203325"/>
                      <a:ext cx="785966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RECEITA</a:t>
                      </a:r>
                    </a:p>
                  </xdr:txBody>
                </xdr:sp>
                <xdr:sp macro="" textlink="">
                  <xdr:nvSpPr>
                    <xdr:cNvPr id="47" name="CaixaDeTexto 46">
                      <a:extLst>
                        <a:ext uri="{FF2B5EF4-FFF2-40B4-BE49-F238E27FC236}">
                          <a16:creationId xmlns:a16="http://schemas.microsoft.com/office/drawing/2014/main" id="{00000000-0008-0000-0700-00002F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51195" y="1190625"/>
                      <a:ext cx="681584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VALOR</a:t>
                      </a:r>
                    </a:p>
                  </xdr:txBody>
                </xdr:sp>
                <xdr:sp macro="" textlink="">
                  <xdr:nvSpPr>
                    <xdr:cNvPr id="48" name="CaixaDeTexto 47">
                      <a:extLst>
                        <a:ext uri="{FF2B5EF4-FFF2-40B4-BE49-F238E27FC236}">
                          <a16:creationId xmlns:a16="http://schemas.microsoft.com/office/drawing/2014/main" id="{00000000-0008-0000-0700-000030000000}"/>
                        </a:ext>
                      </a:extLst>
                    </xdr:cNvPr>
                    <xdr:cNvSpPr txBox="1"/>
                  </xdr:nvSpPr>
                  <xdr:spPr>
                    <a:xfrm>
                      <a:off x="161925" y="1190625"/>
                      <a:ext cx="261290" cy="280205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Calibri"/>
                          <a:cs typeface="Calibri"/>
                        </a:rPr>
                        <a:t>#</a:t>
                      </a:r>
                    </a:p>
                  </xdr:txBody>
                </xdr:sp>
                <xdr:sp macro="" textlink="">
                  <xdr:nvSpPr>
                    <xdr:cNvPr id="49" name="CaixaDeTexto 48">
                      <a:extLst>
                        <a:ext uri="{FF2B5EF4-FFF2-40B4-BE49-F238E27FC236}">
                          <a16:creationId xmlns:a16="http://schemas.microsoft.com/office/drawing/2014/main" id="{00000000-0008-0000-0700-00003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91025" y="1190625"/>
                      <a:ext cx="309551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%</a:t>
                      </a:r>
                    </a:p>
                  </xdr:txBody>
                </xdr:sp>
                <xdr:sp macro="" textlink="">
                  <xdr:nvSpPr>
                    <xdr:cNvPr id="50" name="CaixaDeTexto 49">
                      <a:extLst>
                        <a:ext uri="{FF2B5EF4-FFF2-40B4-BE49-F238E27FC236}">
                          <a16:creationId xmlns:a16="http://schemas.microsoft.com/office/drawing/2014/main" id="{00000000-0008-0000-0700-00003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70780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2</a:t>
                      </a:r>
                    </a:p>
                  </xdr:txBody>
                </xdr:sp>
                <xdr:sp macro="" textlink="SUPORTE!D88">
                  <xdr:nvSpPr>
                    <xdr:cNvPr id="51" name="CaixaDeTexto 50">
                      <a:extLst>
                        <a:ext uri="{FF2B5EF4-FFF2-40B4-BE49-F238E27FC236}">
                          <a16:creationId xmlns:a16="http://schemas.microsoft.com/office/drawing/2014/main" id="{00000000-0008-0000-0700-00003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7067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58C211BE-AA49-44F0-9E44-B363CE56D303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FÉRIAS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8">
                  <xdr:nvSpPr>
                    <xdr:cNvPr id="52" name="CaixaDeTexto 51">
                      <a:extLst>
                        <a:ext uri="{FF2B5EF4-FFF2-40B4-BE49-F238E27FC236}">
                          <a16:creationId xmlns:a16="http://schemas.microsoft.com/office/drawing/2014/main" id="{00000000-0008-0000-0700-00003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1706792"/>
                      <a:ext cx="927496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085BBEF7-9027-47BD-ABC2-B96409C8619F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R$5.490,00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88">
                  <xdr:nvSpPr>
                    <xdr:cNvPr id="53" name="CaixaDeTexto 52">
                      <a:extLst>
                        <a:ext uri="{FF2B5EF4-FFF2-40B4-BE49-F238E27FC236}">
                          <a16:creationId xmlns:a16="http://schemas.microsoft.com/office/drawing/2014/main" id="{00000000-0008-0000-0700-00003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270096" y="1703387"/>
                      <a:ext cx="475562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DAFF40A4-9F13-42B4-AAF2-6544768A7DC0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12%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54" name="CaixaDeTexto 53">
                      <a:extLst>
                        <a:ext uri="{FF2B5EF4-FFF2-40B4-BE49-F238E27FC236}">
                          <a16:creationId xmlns:a16="http://schemas.microsoft.com/office/drawing/2014/main" id="{00000000-0008-0000-0700-00003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94593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3</a:t>
                      </a:r>
                    </a:p>
                  </xdr:txBody>
                </xdr:sp>
                <xdr:sp macro="" textlink="SUPORTE!D89">
                  <xdr:nvSpPr>
                    <xdr:cNvPr id="55" name="CaixaDeTexto 54">
                      <a:extLst>
                        <a:ext uri="{FF2B5EF4-FFF2-40B4-BE49-F238E27FC236}">
                          <a16:creationId xmlns:a16="http://schemas.microsoft.com/office/drawing/2014/main" id="{00000000-0008-0000-0700-000037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9449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C6ADDE36-59F8-4371-AC37-A8761E306D8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13º SALÁRIO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9">
                  <xdr:nvSpPr>
                    <xdr:cNvPr id="56" name="CaixaDeTexto 55">
                      <a:extLst>
                        <a:ext uri="{FF2B5EF4-FFF2-40B4-BE49-F238E27FC236}">
                          <a16:creationId xmlns:a16="http://schemas.microsoft.com/office/drawing/2014/main" id="{00000000-0008-0000-0700-000038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7" y="1944917"/>
                      <a:ext cx="949356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7291E307-40B1-4AAF-9159-5FD59B0BFAF2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R$3.200,00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89">
                  <xdr:nvSpPr>
                    <xdr:cNvPr id="57" name="CaixaDeTexto 56">
                      <a:extLst>
                        <a:ext uri="{FF2B5EF4-FFF2-40B4-BE49-F238E27FC236}">
                          <a16:creationId xmlns:a16="http://schemas.microsoft.com/office/drawing/2014/main" id="{00000000-0008-0000-0700-000039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19415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5A0DC870-AF9A-4273-8C46-C0A5A6D597E0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7%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58" name="CaixaDeTexto 57">
                      <a:extLst>
                        <a:ext uri="{FF2B5EF4-FFF2-40B4-BE49-F238E27FC236}">
                          <a16:creationId xmlns:a16="http://schemas.microsoft.com/office/drawing/2014/main" id="{00000000-0008-0000-0700-00003A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18405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4</a:t>
                      </a:r>
                    </a:p>
                  </xdr:txBody>
                </xdr:sp>
                <xdr:sp macro="" textlink="SUPORTE!D90">
                  <xdr:nvSpPr>
                    <xdr:cNvPr id="59" name="CaixaDeTexto 58">
                      <a:extLst>
                        <a:ext uri="{FF2B5EF4-FFF2-40B4-BE49-F238E27FC236}">
                          <a16:creationId xmlns:a16="http://schemas.microsoft.com/office/drawing/2014/main" id="{00000000-0008-0000-0700-00003B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18304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8FC9ADC5-5E5F-4EA6-9F3A-093CCB6ADF86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BÔNUS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0">
                  <xdr:nvSpPr>
                    <xdr:cNvPr id="60" name="CaixaDeTexto 59">
                      <a:extLst>
                        <a:ext uri="{FF2B5EF4-FFF2-40B4-BE49-F238E27FC236}">
                          <a16:creationId xmlns:a16="http://schemas.microsoft.com/office/drawing/2014/main" id="{00000000-0008-0000-0700-00003C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183042"/>
                      <a:ext cx="90176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2F24EFCC-AD16-4D5E-8478-01D3D0F7F650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R$470,00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0">
                  <xdr:nvSpPr>
                    <xdr:cNvPr id="61" name="CaixaDeTexto 60">
                      <a:extLst>
                        <a:ext uri="{FF2B5EF4-FFF2-40B4-BE49-F238E27FC236}">
                          <a16:creationId xmlns:a16="http://schemas.microsoft.com/office/drawing/2014/main" id="{00000000-0008-0000-0700-00003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17963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1BAF6139-49E3-4D4E-BA35-855FF451E5C7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1%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62" name="CaixaDeTexto 61">
                      <a:extLst>
                        <a:ext uri="{FF2B5EF4-FFF2-40B4-BE49-F238E27FC236}">
                          <a16:creationId xmlns:a16="http://schemas.microsoft.com/office/drawing/2014/main" id="{00000000-0008-0000-0700-00003E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4221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5</a:t>
                      </a:r>
                    </a:p>
                  </xdr:txBody>
                </xdr:sp>
                <xdr:sp macro="" textlink="SUPORTE!D91">
                  <xdr:nvSpPr>
                    <xdr:cNvPr id="63" name="CaixaDeTexto 62">
                      <a:extLst>
                        <a:ext uri="{FF2B5EF4-FFF2-40B4-BE49-F238E27FC236}">
                          <a16:creationId xmlns:a16="http://schemas.microsoft.com/office/drawing/2014/main" id="{00000000-0008-0000-0700-00003F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421168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96DE1621-D426-4877-8C1D-038A7E23EE2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ALUGUEL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1">
                  <xdr:nvSpPr>
                    <xdr:cNvPr id="64" name="CaixaDeTexto 63">
                      <a:extLst>
                        <a:ext uri="{FF2B5EF4-FFF2-40B4-BE49-F238E27FC236}">
                          <a16:creationId xmlns:a16="http://schemas.microsoft.com/office/drawing/2014/main" id="{00000000-0008-0000-0700-000040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42116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52698117-56AD-4FDA-94C9-5800029D3AA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1">
                  <xdr:nvSpPr>
                    <xdr:cNvPr id="65" name="CaixaDeTexto 64">
                      <a:extLst>
                        <a:ext uri="{FF2B5EF4-FFF2-40B4-BE49-F238E27FC236}">
                          <a16:creationId xmlns:a16="http://schemas.microsoft.com/office/drawing/2014/main" id="{00000000-0008-0000-0700-00004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41776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B82CB3F3-A923-4861-86C7-7AC2A62F5C02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66" name="CaixaDeTexto 65">
                      <a:extLst>
                        <a:ext uri="{FF2B5EF4-FFF2-40B4-BE49-F238E27FC236}">
                          <a16:creationId xmlns:a16="http://schemas.microsoft.com/office/drawing/2014/main" id="{00000000-0008-0000-0700-00004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66030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6</a:t>
                      </a:r>
                    </a:p>
                  </xdr:txBody>
                </xdr:sp>
                <xdr:sp macro="" textlink="SUPORTE!D92">
                  <xdr:nvSpPr>
                    <xdr:cNvPr id="67" name="CaixaDeTexto 66">
                      <a:extLst>
                        <a:ext uri="{FF2B5EF4-FFF2-40B4-BE49-F238E27FC236}">
                          <a16:creationId xmlns:a16="http://schemas.microsoft.com/office/drawing/2014/main" id="{00000000-0008-0000-0700-00004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6592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75E8420D-1997-4ABE-9FE4-701858C84B4B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PENSÃO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2">
                  <xdr:nvSpPr>
                    <xdr:cNvPr id="68" name="CaixaDeTexto 67">
                      <a:extLst>
                        <a:ext uri="{FF2B5EF4-FFF2-40B4-BE49-F238E27FC236}">
                          <a16:creationId xmlns:a16="http://schemas.microsoft.com/office/drawing/2014/main" id="{00000000-0008-0000-0700-00004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65929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AF7FFDB9-80CA-4F6C-B66E-CF992EB8E83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2">
                  <xdr:nvSpPr>
                    <xdr:cNvPr id="69" name="CaixaDeTexto 68">
                      <a:extLst>
                        <a:ext uri="{FF2B5EF4-FFF2-40B4-BE49-F238E27FC236}">
                          <a16:creationId xmlns:a16="http://schemas.microsoft.com/office/drawing/2014/main" id="{00000000-0008-0000-0700-00004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65588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E0A8DF19-41D5-4483-AE86-3DF7DDFEA304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0" name="CaixaDeTexto 69">
                      <a:extLst>
                        <a:ext uri="{FF2B5EF4-FFF2-40B4-BE49-F238E27FC236}">
                          <a16:creationId xmlns:a16="http://schemas.microsoft.com/office/drawing/2014/main" id="{00000000-0008-0000-0700-00004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89843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7</a:t>
                      </a:r>
                    </a:p>
                  </xdr:txBody>
                </xdr:sp>
                <xdr:sp macro="" textlink="SUPORTE!D93">
                  <xdr:nvSpPr>
                    <xdr:cNvPr id="71" name="CaixaDeTexto 70">
                      <a:extLst>
                        <a:ext uri="{FF2B5EF4-FFF2-40B4-BE49-F238E27FC236}">
                          <a16:creationId xmlns:a16="http://schemas.microsoft.com/office/drawing/2014/main" id="{00000000-0008-0000-0700-000047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8974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A9C44001-2480-4D90-A3D3-B7EDFC2DA2B2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RENDA EXTRA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3">
                  <xdr:nvSpPr>
                    <xdr:cNvPr id="72" name="CaixaDeTexto 71">
                      <a:extLst>
                        <a:ext uri="{FF2B5EF4-FFF2-40B4-BE49-F238E27FC236}">
                          <a16:creationId xmlns:a16="http://schemas.microsoft.com/office/drawing/2014/main" id="{00000000-0008-0000-0700-000048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88789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7DA427B9-39AB-41A6-89CA-D5DADDBD370D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3">
                  <xdr:nvSpPr>
                    <xdr:cNvPr id="73" name="CaixaDeTexto 72">
                      <a:extLst>
                        <a:ext uri="{FF2B5EF4-FFF2-40B4-BE49-F238E27FC236}">
                          <a16:creationId xmlns:a16="http://schemas.microsoft.com/office/drawing/2014/main" id="{00000000-0008-0000-0700-000049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8940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B31A480A-C499-4A5F-939E-D5FC8D973A8D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4" name="CaixaDeTexto 73">
                      <a:extLst>
                        <a:ext uri="{FF2B5EF4-FFF2-40B4-BE49-F238E27FC236}">
                          <a16:creationId xmlns:a16="http://schemas.microsoft.com/office/drawing/2014/main" id="{00000000-0008-0000-0700-00004A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13655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8</a:t>
                      </a:r>
                    </a:p>
                  </xdr:txBody>
                </xdr:sp>
                <xdr:sp macro="" textlink="SUPORTE!D94">
                  <xdr:nvSpPr>
                    <xdr:cNvPr id="75" name="CaixaDeTexto 74">
                      <a:extLst>
                        <a:ext uri="{FF2B5EF4-FFF2-40B4-BE49-F238E27FC236}">
                          <a16:creationId xmlns:a16="http://schemas.microsoft.com/office/drawing/2014/main" id="{00000000-0008-0000-0700-00004B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13554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D4BBFBD1-362E-4A6F-8CC5-96D7D63E2FF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BENEFÍCIO DE PREVIDÊNCIA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4">
                  <xdr:nvSpPr>
                    <xdr:cNvPr id="76" name="CaixaDeTexto 75">
                      <a:extLst>
                        <a:ext uri="{FF2B5EF4-FFF2-40B4-BE49-F238E27FC236}">
                          <a16:creationId xmlns:a16="http://schemas.microsoft.com/office/drawing/2014/main" id="{00000000-0008-0000-0700-00004C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14506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FE5A038-EF20-42B4-9A5C-ED384DC72BC6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4">
                  <xdr:nvSpPr>
                    <xdr:cNvPr id="77" name="CaixaDeTexto 76">
                      <a:extLst>
                        <a:ext uri="{FF2B5EF4-FFF2-40B4-BE49-F238E27FC236}">
                          <a16:creationId xmlns:a16="http://schemas.microsoft.com/office/drawing/2014/main" id="{00000000-0008-0000-0700-00004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13213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09B8C58E-6A05-45FB-9B4A-D1CA25FDAB43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8" name="CaixaDeTexto 77">
                      <a:extLst>
                        <a:ext uri="{FF2B5EF4-FFF2-40B4-BE49-F238E27FC236}">
                          <a16:creationId xmlns:a16="http://schemas.microsoft.com/office/drawing/2014/main" id="{00000000-0008-0000-0700-00004E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3746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9</a:t>
                      </a:r>
                    </a:p>
                  </xdr:txBody>
                </xdr:sp>
                <xdr:sp macro="" textlink="SUPORTE!D95">
                  <xdr:nvSpPr>
                    <xdr:cNvPr id="79" name="CaixaDeTexto 78">
                      <a:extLst>
                        <a:ext uri="{FF2B5EF4-FFF2-40B4-BE49-F238E27FC236}">
                          <a16:creationId xmlns:a16="http://schemas.microsoft.com/office/drawing/2014/main" id="{00000000-0008-0000-0700-00004F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3800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E8ECBB00-F881-4CC7-974A-65E18192F72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DIVIDENDOS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5">
                  <xdr:nvSpPr>
                    <xdr:cNvPr id="80" name="CaixaDeTexto 79">
                      <a:extLst>
                        <a:ext uri="{FF2B5EF4-FFF2-40B4-BE49-F238E27FC236}">
                          <a16:creationId xmlns:a16="http://schemas.microsoft.com/office/drawing/2014/main" id="{00000000-0008-0000-0700-000050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36731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CC15E24-C7AE-410B-BD7F-E9F436134E44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5">
                  <xdr:nvSpPr>
                    <xdr:cNvPr id="81" name="CaixaDeTexto 80">
                      <a:extLst>
                        <a:ext uri="{FF2B5EF4-FFF2-40B4-BE49-F238E27FC236}">
                          <a16:creationId xmlns:a16="http://schemas.microsoft.com/office/drawing/2014/main" id="{00000000-0008-0000-0700-00005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3639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F26CC75E-40DD-4C8B-9405-CF9B2EA0DC92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82" name="CaixaDeTexto 81">
                      <a:extLst>
                        <a:ext uri="{FF2B5EF4-FFF2-40B4-BE49-F238E27FC236}">
                          <a16:creationId xmlns:a16="http://schemas.microsoft.com/office/drawing/2014/main" id="{00000000-0008-0000-0700-00005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612805"/>
                      <a:ext cx="327654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10</a:t>
                      </a:r>
                    </a:p>
                  </xdr:txBody>
                </xdr:sp>
                <xdr:sp macro="" textlink="SUPORTE!D96">
                  <xdr:nvSpPr>
                    <xdr:cNvPr id="83" name="CaixaDeTexto 82">
                      <a:extLst>
                        <a:ext uri="{FF2B5EF4-FFF2-40B4-BE49-F238E27FC236}">
                          <a16:creationId xmlns:a16="http://schemas.microsoft.com/office/drawing/2014/main" id="{00000000-0008-0000-0700-00005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6117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F247CC23-F831-4672-A21F-FA0BA6A315A8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VALE ALIMENTAÇÃO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6">
                  <xdr:nvSpPr>
                    <xdr:cNvPr id="84" name="CaixaDeTexto 83">
                      <a:extLst>
                        <a:ext uri="{FF2B5EF4-FFF2-40B4-BE49-F238E27FC236}">
                          <a16:creationId xmlns:a16="http://schemas.microsoft.com/office/drawing/2014/main" id="{00000000-0008-0000-0700-00005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60544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8440259-098E-4BCC-876D-2F2701AD9755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6">
                  <xdr:nvSpPr>
                    <xdr:cNvPr id="85" name="CaixaDeTexto 84">
                      <a:extLst>
                        <a:ext uri="{FF2B5EF4-FFF2-40B4-BE49-F238E27FC236}">
                          <a16:creationId xmlns:a16="http://schemas.microsoft.com/office/drawing/2014/main" id="{00000000-0008-0000-0700-00005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59568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0E0E90A2-084A-4584-8D55-47071E6A73D5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cxnSp macro="">
                  <xdr:nvCxnSpPr>
                    <xdr:cNvPr id="86" name="Conector reto 85">
                      <a:extLst>
                        <a:ext uri="{FF2B5EF4-FFF2-40B4-BE49-F238E27FC236}">
                          <a16:creationId xmlns:a16="http://schemas.microsoft.com/office/drawing/2014/main" id="{00000000-0008-0000-0700-000056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17145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7" name="Conector reto 86">
                      <a:extLst>
                        <a:ext uri="{FF2B5EF4-FFF2-40B4-BE49-F238E27FC236}">
                          <a16:creationId xmlns:a16="http://schemas.microsoft.com/office/drawing/2014/main" id="{00000000-0008-0000-0700-000057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19075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8" name="Conector reto 87">
                      <a:extLst>
                        <a:ext uri="{FF2B5EF4-FFF2-40B4-BE49-F238E27FC236}">
                          <a16:creationId xmlns:a16="http://schemas.microsoft.com/office/drawing/2014/main" id="{00000000-0008-0000-0700-000058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6670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9" name="Conector reto 88">
                      <a:extLst>
                        <a:ext uri="{FF2B5EF4-FFF2-40B4-BE49-F238E27FC236}">
                          <a16:creationId xmlns:a16="http://schemas.microsoft.com/office/drawing/2014/main" id="{00000000-0008-0000-0700-000059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905125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0" name="Conector reto 89">
                      <a:extLst>
                        <a:ext uri="{FF2B5EF4-FFF2-40B4-BE49-F238E27FC236}">
                          <a16:creationId xmlns:a16="http://schemas.microsoft.com/office/drawing/2014/main" id="{00000000-0008-0000-0700-00005A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1369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1" name="Conector reto 90">
                      <a:extLst>
                        <a:ext uri="{FF2B5EF4-FFF2-40B4-BE49-F238E27FC236}">
                          <a16:creationId xmlns:a16="http://schemas.microsoft.com/office/drawing/2014/main" id="{00000000-0008-0000-0700-00005B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3909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2" name="Conector reto 91">
                      <a:extLst>
                        <a:ext uri="{FF2B5EF4-FFF2-40B4-BE49-F238E27FC236}">
                          <a16:creationId xmlns:a16="http://schemas.microsoft.com/office/drawing/2014/main" id="{00000000-0008-0000-0700-00005C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622675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SUPORTE!F87">
                  <xdr:nvSpPr>
                    <xdr:cNvPr id="93" name="CaixaDeTexto 92">
                      <a:extLst>
                        <a:ext uri="{FF2B5EF4-FFF2-40B4-BE49-F238E27FC236}">
                          <a16:creationId xmlns:a16="http://schemas.microsoft.com/office/drawing/2014/main" id="{00000000-0008-0000-0700-00005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279621" y="1446212"/>
                      <a:ext cx="475562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5AD38322-0CA1-4462-8BB5-56704CCF2937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80%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</xdr:grpSp>
            </xdr:grpSp>
          </xdr:grpSp>
          <xdr:grpSp>
            <xdr:nvGrpSpPr>
              <xdr:cNvPr id="36" name="Agrupar 35">
                <a:extLst>
                  <a:ext uri="{FF2B5EF4-FFF2-40B4-BE49-F238E27FC236}">
                    <a16:creationId xmlns:a16="http://schemas.microsoft.com/office/drawing/2014/main" id="{00000000-0008-0000-0700-000024000000}"/>
                  </a:ext>
                </a:extLst>
              </xdr:cNvPr>
              <xdr:cNvGrpSpPr/>
            </xdr:nvGrpSpPr>
            <xdr:grpSpPr>
              <a:xfrm>
                <a:off x="5000625" y="896764"/>
                <a:ext cx="5438776" cy="2989436"/>
                <a:chOff x="5000625" y="896764"/>
                <a:chExt cx="5438776" cy="2989436"/>
              </a:xfrm>
            </xdr:grpSpPr>
            <xdr:graphicFrame macro="">
              <xdr:nvGraphicFramePr>
                <xdr:cNvPr id="37" name="Gráfico 36">
                  <a:extLst>
                    <a:ext uri="{FF2B5EF4-FFF2-40B4-BE49-F238E27FC236}">
                      <a16:creationId xmlns:a16="http://schemas.microsoft.com/office/drawing/2014/main" id="{00000000-0008-0000-0700-000025000000}"/>
                    </a:ext>
                  </a:extLst>
                </xdr:cNvPr>
                <xdr:cNvGraphicFramePr/>
              </xdr:nvGraphicFramePr>
              <xdr:xfrm>
                <a:off x="5000625" y="1276350"/>
                <a:ext cx="5438776" cy="26098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38" name="CaixaDeTexto 37">
                  <a:extLst>
                    <a:ext uri="{FF2B5EF4-FFF2-40B4-BE49-F238E27FC236}">
                      <a16:creationId xmlns:a16="http://schemas.microsoft.com/office/drawing/2014/main" id="{00000000-0008-0000-0700-000026000000}"/>
                    </a:ext>
                  </a:extLst>
                </xdr:cNvPr>
                <xdr:cNvSpPr txBox="1"/>
              </xdr:nvSpPr>
              <xdr:spPr>
                <a:xfrm>
                  <a:off x="6290909" y="896764"/>
                  <a:ext cx="2200169" cy="298608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4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ESCOLHA UMA </a:t>
                  </a:r>
                  <a:r>
                    <a:rPr lang="pt-BR" sz="1400" b="1">
                      <a:solidFill>
                        <a:srgbClr val="32AC69"/>
                      </a:solidFill>
                      <a:latin typeface="Ubuntu" panose="020B0504030602030204" pitchFamily="34" charset="0"/>
                    </a:rPr>
                    <a:t>RECEITA</a:t>
                  </a:r>
                  <a:r>
                    <a:rPr lang="pt-BR" sz="14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:</a:t>
                  </a:r>
                </a:p>
              </xdr:txBody>
            </xdr:sp>
          </xdr:grp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Drop Down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700-000003500000}"/>
                  </a:ext>
                </a:extLst>
              </xdr:cNvPr>
              <xdr:cNvSpPr/>
            </xdr:nvSpPr>
            <xdr:spPr bwMode="auto">
              <a:xfrm>
                <a:off x="9251950" y="1162050"/>
                <a:ext cx="18796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350</xdr:colOff>
      <xdr:row>0</xdr:row>
      <xdr:rowOff>92075</xdr:rowOff>
    </xdr:from>
    <xdr:to>
      <xdr:col>6</xdr:col>
      <xdr:colOff>629000</xdr:colOff>
      <xdr:row>3</xdr:row>
      <xdr:rowOff>85725</xdr:rowOff>
    </xdr:to>
    <xdr:grpSp>
      <xdr:nvGrpSpPr>
        <xdr:cNvPr id="111" name="Group 1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166023-1851-9183-F8F1-248A9BA853DC}"/>
            </a:ext>
          </a:extLst>
        </xdr:cNvPr>
        <xdr:cNvGrpSpPr/>
      </xdr:nvGrpSpPr>
      <xdr:grpSpPr>
        <a:xfrm>
          <a:off x="2457800" y="92075"/>
          <a:ext cx="1911350" cy="552450"/>
          <a:chOff x="2457800" y="92075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B5ADDEF3-D1FB-4ECA-AD4F-C74654FB9585}"/>
              </a:ext>
            </a:extLst>
          </xdr:cNvPr>
          <xdr:cNvSpPr/>
        </xdr:nvSpPr>
        <xdr:spPr>
          <a:xfrm>
            <a:off x="24578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68887C1D-8190-41E4-815C-B3EF8A730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2508600" y="219075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DC0E38F-3D51-47B8-924D-7CD78355F124}"/>
              </a:ext>
            </a:extLst>
          </xdr:cNvPr>
          <xdr:cNvSpPr txBox="1"/>
        </xdr:nvSpPr>
        <xdr:spPr>
          <a:xfrm>
            <a:off x="2711800" y="92075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76550</xdr:colOff>
      <xdr:row>0</xdr:row>
      <xdr:rowOff>117475</xdr:rowOff>
    </xdr:from>
    <xdr:to>
      <xdr:col>10</xdr:col>
      <xdr:colOff>63850</xdr:colOff>
      <xdr:row>3</xdr:row>
      <xdr:rowOff>66675</xdr:rowOff>
    </xdr:to>
    <xdr:grpSp>
      <xdr:nvGrpSpPr>
        <xdr:cNvPr id="112" name="Group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2BC85E4-1BF6-8D4B-D864-677B90770634}"/>
            </a:ext>
          </a:extLst>
        </xdr:cNvPr>
        <xdr:cNvGrpSpPr/>
      </xdr:nvGrpSpPr>
      <xdr:grpSpPr>
        <a:xfrm>
          <a:off x="4458050" y="117475"/>
          <a:ext cx="1911350" cy="508000"/>
          <a:chOff x="4458050" y="117475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273399B-7F8E-459B-82D1-FAB6C6D7E86E}"/>
              </a:ext>
            </a:extLst>
          </xdr:cNvPr>
          <xdr:cNvSpPr/>
        </xdr:nvSpPr>
        <xdr:spPr>
          <a:xfrm>
            <a:off x="445805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0C3D2C2-A9BC-42BD-99F4-6A95EEB7B676}"/>
              </a:ext>
            </a:extLst>
          </xdr:cNvPr>
          <xdr:cNvSpPr txBox="1"/>
        </xdr:nvSpPr>
        <xdr:spPr>
          <a:xfrm>
            <a:off x="4737450" y="117475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3414989-0617-4974-B0DB-C12C036915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527900" y="219075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152750</xdr:colOff>
      <xdr:row>0</xdr:row>
      <xdr:rowOff>98425</xdr:rowOff>
    </xdr:from>
    <xdr:to>
      <xdr:col>13</xdr:col>
      <xdr:colOff>140050</xdr:colOff>
      <xdr:row>3</xdr:row>
      <xdr:rowOff>73025</xdr:rowOff>
    </xdr:to>
    <xdr:grpSp>
      <xdr:nvGrpSpPr>
        <xdr:cNvPr id="113" name="Group 1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8EF515A-7F1C-CEDB-3A15-45F6BD54E664}"/>
            </a:ext>
          </a:extLst>
        </xdr:cNvPr>
        <xdr:cNvGrpSpPr/>
      </xdr:nvGrpSpPr>
      <xdr:grpSpPr>
        <a:xfrm>
          <a:off x="6458300" y="98425"/>
          <a:ext cx="1911350" cy="533400"/>
          <a:chOff x="6458300" y="98425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3C9631A9-E9D1-4473-89D3-8FD06E2C99E8}"/>
              </a:ext>
            </a:extLst>
          </xdr:cNvPr>
          <xdr:cNvSpPr/>
        </xdr:nvSpPr>
        <xdr:spPr>
          <a:xfrm>
            <a:off x="64583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A5DC4A2-1641-45FB-9B31-7B99FD768A54}"/>
              </a:ext>
            </a:extLst>
          </xdr:cNvPr>
          <xdr:cNvSpPr txBox="1"/>
        </xdr:nvSpPr>
        <xdr:spPr>
          <a:xfrm>
            <a:off x="67313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C704BAB2-AEE3-4B6C-86A3-05CD5D7B44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28150" y="212725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235300</xdr:colOff>
      <xdr:row>0</xdr:row>
      <xdr:rowOff>98425</xdr:rowOff>
    </xdr:from>
    <xdr:to>
      <xdr:col>16</xdr:col>
      <xdr:colOff>222600</xdr:colOff>
      <xdr:row>3</xdr:row>
      <xdr:rowOff>73025</xdr:rowOff>
    </xdr:to>
    <xdr:grpSp>
      <xdr:nvGrpSpPr>
        <xdr:cNvPr id="114" name="Group 1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1EBB4F2-F79B-6832-D848-E0E31E69EE02}"/>
            </a:ext>
          </a:extLst>
        </xdr:cNvPr>
        <xdr:cNvGrpSpPr/>
      </xdr:nvGrpSpPr>
      <xdr:grpSpPr>
        <a:xfrm>
          <a:off x="8464900" y="98425"/>
          <a:ext cx="1911350" cy="533400"/>
          <a:chOff x="8464900" y="98425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EFD63D66-4BFC-42DD-A32C-EB6E5000FFF7}"/>
              </a:ext>
            </a:extLst>
          </xdr:cNvPr>
          <xdr:cNvSpPr/>
        </xdr:nvSpPr>
        <xdr:spPr>
          <a:xfrm>
            <a:off x="84649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CA4258-8EC8-4367-AE72-2D721025F063}"/>
              </a:ext>
            </a:extLst>
          </xdr:cNvPr>
          <xdr:cNvSpPr txBox="1"/>
        </xdr:nvSpPr>
        <xdr:spPr>
          <a:xfrm>
            <a:off x="87379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06EA650B-5891-4FC0-A244-63BB17247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579200" y="180975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311500</xdr:colOff>
      <xdr:row>0</xdr:row>
      <xdr:rowOff>98425</xdr:rowOff>
    </xdr:from>
    <xdr:to>
      <xdr:col>19</xdr:col>
      <xdr:colOff>298800</xdr:colOff>
      <xdr:row>3</xdr:row>
      <xdr:rowOff>73025</xdr:rowOff>
    </xdr:to>
    <xdr:grpSp>
      <xdr:nvGrpSpPr>
        <xdr:cNvPr id="115" name="Group 1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DCC7897-2215-09EF-DAA5-6B290EE2FBE2}"/>
            </a:ext>
          </a:extLst>
        </xdr:cNvPr>
        <xdr:cNvGrpSpPr/>
      </xdr:nvGrpSpPr>
      <xdr:grpSpPr>
        <a:xfrm>
          <a:off x="10465150" y="98425"/>
          <a:ext cx="1911350" cy="533400"/>
          <a:chOff x="10465150" y="98425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11EA3875-F8D7-4ED9-BA4E-2C1685DE5247}"/>
              </a:ext>
            </a:extLst>
          </xdr:cNvPr>
          <xdr:cNvSpPr/>
        </xdr:nvSpPr>
        <xdr:spPr>
          <a:xfrm>
            <a:off x="1046515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E796F37-AEB4-446E-9380-CFC931C331D7}"/>
              </a:ext>
            </a:extLst>
          </xdr:cNvPr>
          <xdr:cNvSpPr txBox="1"/>
        </xdr:nvSpPr>
        <xdr:spPr>
          <a:xfrm>
            <a:off x="1073820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3EDE3823-5B5A-4E7F-9A7B-01AF6F36EE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10541350" y="200025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387700</xdr:colOff>
      <xdr:row>0</xdr:row>
      <xdr:rowOff>98425</xdr:rowOff>
    </xdr:from>
    <xdr:to>
      <xdr:col>22</xdr:col>
      <xdr:colOff>375000</xdr:colOff>
      <xdr:row>3</xdr:row>
      <xdr:rowOff>73025</xdr:rowOff>
    </xdr:to>
    <xdr:grpSp>
      <xdr:nvGrpSpPr>
        <xdr:cNvPr id="116" name="Group 11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7B5338C-8394-7195-67DC-7FB3C705C378}"/>
            </a:ext>
          </a:extLst>
        </xdr:cNvPr>
        <xdr:cNvGrpSpPr/>
      </xdr:nvGrpSpPr>
      <xdr:grpSpPr>
        <a:xfrm>
          <a:off x="12465400" y="98425"/>
          <a:ext cx="1911350" cy="533400"/>
          <a:chOff x="12465400" y="98425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9826B485-361A-492D-88B3-EA39113BEC7F}"/>
              </a:ext>
            </a:extLst>
          </xdr:cNvPr>
          <xdr:cNvSpPr/>
        </xdr:nvSpPr>
        <xdr:spPr>
          <a:xfrm>
            <a:off x="12465400" y="155575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F83FE0B-1D5E-4AA3-AE4C-402893D49D2C}"/>
              </a:ext>
            </a:extLst>
          </xdr:cNvPr>
          <xdr:cNvSpPr txBox="1"/>
        </xdr:nvSpPr>
        <xdr:spPr>
          <a:xfrm>
            <a:off x="127384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65CDC83C-27F8-4CEB-A376-146A8F2951AA}"/>
              </a:ext>
            </a:extLst>
          </xdr:cNvPr>
          <xdr:cNvGrpSpPr/>
        </xdr:nvGrpSpPr>
        <xdr:grpSpPr>
          <a:xfrm>
            <a:off x="12554300" y="206375"/>
            <a:ext cx="317500" cy="317500"/>
            <a:chOff x="15919450" y="1784350"/>
            <a:chExt cx="444500" cy="444500"/>
          </a:xfrm>
          <a:solidFill>
            <a:schemeClr val="bg1">
              <a:lumMod val="95000"/>
            </a:schemeClr>
          </a:solidFill>
        </xdr:grpSpPr>
        <xdr:pic>
          <xdr:nvPicPr>
            <xdr:cNvPr id="26" name="Graphic 25" descr="Magnifying glass with solid fill">
              <a:extLst>
                <a:ext uri="{FF2B5EF4-FFF2-40B4-BE49-F238E27FC236}">
                  <a16:creationId xmlns:a16="http://schemas.microsoft.com/office/drawing/2014/main" id="{C682E508-CB44-DE20-729F-2847654F78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7" name="Graphic 26" descr="Add outline">
              <a:extLst>
                <a:ext uri="{FF2B5EF4-FFF2-40B4-BE49-F238E27FC236}">
                  <a16:creationId xmlns:a16="http://schemas.microsoft.com/office/drawing/2014/main" id="{3A06A256-95FF-7526-D033-5C0FD3B9D3E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>
              <a:extLs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470250</xdr:colOff>
      <xdr:row>0</xdr:row>
      <xdr:rowOff>98425</xdr:rowOff>
    </xdr:from>
    <xdr:to>
      <xdr:col>25</xdr:col>
      <xdr:colOff>457550</xdr:colOff>
      <xdr:row>3</xdr:row>
      <xdr:rowOff>73025</xdr:rowOff>
    </xdr:to>
    <xdr:grpSp>
      <xdr:nvGrpSpPr>
        <xdr:cNvPr id="117" name="Group 11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CF50394-1B20-26E2-6164-349EBCD75D2F}"/>
            </a:ext>
          </a:extLst>
        </xdr:cNvPr>
        <xdr:cNvGrpSpPr/>
      </xdr:nvGrpSpPr>
      <xdr:grpSpPr>
        <a:xfrm>
          <a:off x="14472000" y="98425"/>
          <a:ext cx="1911350" cy="533400"/>
          <a:chOff x="14472000" y="98425"/>
          <a:chExt cx="1911350" cy="533400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1BDB28F4-6FCC-4616-A4F5-56C21096D34C}"/>
              </a:ext>
            </a:extLst>
          </xdr:cNvPr>
          <xdr:cNvSpPr/>
        </xdr:nvSpPr>
        <xdr:spPr>
          <a:xfrm>
            <a:off x="1447200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F1FF64E7-80D6-4AB7-9E5D-988A9B9E91D7}"/>
              </a:ext>
            </a:extLst>
          </xdr:cNvPr>
          <xdr:cNvSpPr txBox="1"/>
        </xdr:nvSpPr>
        <xdr:spPr>
          <a:xfrm>
            <a:off x="147450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C23E0553-8939-4908-98C0-4F78863B9F25}"/>
              </a:ext>
            </a:extLst>
          </xdr:cNvPr>
          <xdr:cNvGrpSpPr/>
        </xdr:nvGrpSpPr>
        <xdr:grpSpPr>
          <a:xfrm>
            <a:off x="14573600" y="212725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09" name="Graphic 108" descr="Magnifying glass with solid fill">
              <a:extLst>
                <a:ext uri="{FF2B5EF4-FFF2-40B4-BE49-F238E27FC236}">
                  <a16:creationId xmlns:a16="http://schemas.microsoft.com/office/drawing/2014/main" id="{6CAC2F74-2C94-43DA-E3E6-B615AE4853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110" name="Graphic 109" descr="Badge Unfollow outline">
              <a:extLst>
                <a:ext uri="{FF2B5EF4-FFF2-40B4-BE49-F238E27FC236}">
                  <a16:creationId xmlns:a16="http://schemas.microsoft.com/office/drawing/2014/main" id="{5091021F-7D26-2942-B9E8-C46541B13A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8">
              <a:extLst>
                <a:ext uri="{96DAC541-7B7A-43D3-8B79-37D633B846F1}">
                  <asvg:svgBlip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6</xdr:row>
      <xdr:rowOff>171450</xdr:rowOff>
    </xdr:from>
    <xdr:to>
      <xdr:col>9</xdr:col>
      <xdr:colOff>361950</xdr:colOff>
      <xdr:row>20</xdr:row>
      <xdr:rowOff>0</xdr:rowOff>
    </xdr:to>
    <xdr:cxnSp macro="">
      <xdr:nvCxnSpPr>
        <xdr:cNvPr id="162" name="Conector reto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CxnSpPr/>
      </xdr:nvCxnSpPr>
      <xdr:spPr>
        <a:xfrm>
          <a:off x="5438775" y="1085850"/>
          <a:ext cx="0" cy="24955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41326</xdr:colOff>
      <xdr:row>5</xdr:row>
      <xdr:rowOff>41275</xdr:rowOff>
    </xdr:from>
    <xdr:to>
      <xdr:col>18</xdr:col>
      <xdr:colOff>38102</xdr:colOff>
      <xdr:row>35</xdr:row>
      <xdr:rowOff>82550</xdr:rowOff>
    </xdr:to>
    <xdr:grpSp>
      <xdr:nvGrpSpPr>
        <xdr:cNvPr id="172" name="Agrupar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GrpSpPr/>
      </xdr:nvGrpSpPr>
      <xdr:grpSpPr>
        <a:xfrm>
          <a:off x="365176" y="968375"/>
          <a:ext cx="11109276" cy="5565775"/>
          <a:chOff x="76199" y="676275"/>
          <a:chExt cx="11100684" cy="5565775"/>
        </a:xfrm>
      </xdr:grpSpPr>
      <xdr:grpSp>
        <xdr:nvGrpSpPr>
          <xdr:cNvPr id="169" name="Agrupar 168"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GrpSpPr/>
        </xdr:nvGrpSpPr>
        <xdr:grpSpPr>
          <a:xfrm>
            <a:off x="76200" y="4143374"/>
            <a:ext cx="11100683" cy="2098676"/>
            <a:chOff x="76200" y="4143374"/>
            <a:chExt cx="11100683" cy="2098676"/>
          </a:xfrm>
        </xdr:grpSpPr>
        <xdr:sp macro="" textlink="">
          <xdr:nvSpPr>
            <xdr:cNvPr id="101" name="Retângulo 100">
              <a:extLst>
                <a:ext uri="{FF2B5EF4-FFF2-40B4-BE49-F238E27FC236}">
                  <a16:creationId xmlns:a16="http://schemas.microsoft.com/office/drawing/2014/main" id="{00000000-0008-0000-0600-000065000000}"/>
                </a:ext>
              </a:extLst>
            </xdr:cNvPr>
            <xdr:cNvSpPr/>
          </xdr:nvSpPr>
          <xdr:spPr>
            <a:xfrm>
              <a:off x="76200" y="4143374"/>
              <a:ext cx="11100683" cy="2098676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>
                <a:solidFill>
                  <a:srgbClr val="FF9797"/>
                </a:solidFill>
              </a:endParaRPr>
            </a:p>
          </xdr:txBody>
        </xdr:sp>
        <xdr:grpSp>
          <xdr:nvGrpSpPr>
            <xdr:cNvPr id="168" name="Agrupar 167">
              <a:extLst>
                <a:ext uri="{FF2B5EF4-FFF2-40B4-BE49-F238E27FC236}">
                  <a16:creationId xmlns:a16="http://schemas.microsoft.com/office/drawing/2014/main" id="{00000000-0008-0000-0600-0000A8000000}"/>
                </a:ext>
              </a:extLst>
            </xdr:cNvPr>
            <xdr:cNvGrpSpPr/>
          </xdr:nvGrpSpPr>
          <xdr:grpSpPr>
            <a:xfrm>
              <a:off x="187187" y="4203700"/>
              <a:ext cx="10945549" cy="1966666"/>
              <a:chOff x="187187" y="4203700"/>
              <a:chExt cx="10945549" cy="1966666"/>
            </a:xfrm>
          </xdr:grpSpPr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87187" y="4311650"/>
              <a:ext cx="8692771" cy="16446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SUPORTE!Q77">
            <xdr:nvSpPr>
              <xdr:cNvPr id="28" name="CaixaDeTexto 27">
                <a:extLst>
                  <a:ext uri="{FF2B5EF4-FFF2-40B4-BE49-F238E27FC236}">
                    <a16:creationId xmlns:a16="http://schemas.microsoft.com/office/drawing/2014/main" id="{00000000-0008-0000-0600-00001C000000}"/>
                  </a:ext>
                </a:extLst>
              </xdr:cNvPr>
              <xdr:cNvSpPr txBox="1"/>
            </xdr:nvSpPr>
            <xdr:spPr>
              <a:xfrm>
                <a:off x="10605294" y="5573712"/>
                <a:ext cx="478608" cy="2101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indent="0" algn="r"/>
                <a:fld id="{18F7FF53-5361-48D3-BAF1-B684B1029FB7}" type="TxLink">
                  <a:rPr lang="en-US" sz="800" b="1" i="0" u="none" strike="noStrike">
                    <a:solidFill>
                      <a:schemeClr val="bg1">
                        <a:lumMod val="6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 algn="r"/>
                  <a:t>81,9%</a:t>
                </a:fld>
                <a:endParaRPr lang="pt-BR" sz="800" b="1" i="0" u="none" strike="noStrike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Calibri"/>
                </a:endParaRPr>
              </a:p>
            </xdr:txBody>
          </xdr:sp>
          <xdr:sp macro="" textlink="">
            <xdr:nvSpPr>
              <xdr:cNvPr id="102" name="CaixaDeTexto 101">
                <a:extLst>
                  <a:ext uri="{FF2B5EF4-FFF2-40B4-BE49-F238E27FC236}">
                    <a16:creationId xmlns:a16="http://schemas.microsoft.com/office/drawing/2014/main" id="{00000000-0008-0000-0600-000066000000}"/>
                  </a:ext>
                </a:extLst>
              </xdr:cNvPr>
              <xdr:cNvSpPr txBox="1"/>
            </xdr:nvSpPr>
            <xdr:spPr>
              <a:xfrm>
                <a:off x="8913077" y="4203700"/>
                <a:ext cx="2219659" cy="2691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2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ESCOLHA UMA </a:t>
                </a:r>
                <a:r>
                  <a:rPr lang="pt-BR" sz="1200" b="1">
                    <a:solidFill>
                      <a:srgbClr val="FF2F2F"/>
                    </a:solidFill>
                    <a:latin typeface="Ubuntu" panose="020B0504030602030204" pitchFamily="34" charset="0"/>
                  </a:rPr>
                  <a:t>CATEGORIA</a:t>
                </a:r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19458" name="Drop Down 2" hidden="1">
                    <a:extLst>
                      <a:ext uri="{63B3BB69-23CF-44E3-9099-C40C66FF867C}">
                        <a14:compatExt spid="_x0000_s19458"/>
                      </a:ext>
                      <a:ext uri="{FF2B5EF4-FFF2-40B4-BE49-F238E27FC236}">
                        <a16:creationId xmlns:a16="http://schemas.microsoft.com/office/drawing/2014/main" id="{00000000-0008-0000-0800-0000024C0000}"/>
                      </a:ext>
                    </a:extLst>
                  </xdr:cNvPr>
                  <xdr:cNvSpPr/>
                </xdr:nvSpPr>
                <xdr:spPr bwMode="auto">
                  <a:xfrm>
                    <a:off x="9186241" y="4530725"/>
                    <a:ext cx="140970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xdr:sp macro="" textlink="DESPESAS!P52">
            <xdr:nvSpPr>
              <xdr:cNvPr id="106" name="CaixaDeTexto 105">
                <a:extLst>
                  <a:ext uri="{FF2B5EF4-FFF2-40B4-BE49-F238E27FC236}">
                    <a16:creationId xmlns:a16="http://schemas.microsoft.com/office/drawing/2014/main" id="{00000000-0008-0000-0600-00006A000000}"/>
                  </a:ext>
                </a:extLst>
              </xdr:cNvPr>
              <xdr:cNvSpPr txBox="1"/>
            </xdr:nvSpPr>
            <xdr:spPr>
              <a:xfrm>
                <a:off x="8700436" y="4902200"/>
                <a:ext cx="2005494" cy="46801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8EC7429B-50A9-46BF-9FAD-F9620DF9ACE5}" type="TxLink">
                  <a:rPr lang="en-US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rPr>
                  <a:pPr marL="0" indent="0" algn="r"/>
                  <a:t> R$31.845,00 </a:t>
                </a:fld>
                <a:endParaRPr lang="pt-BR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08" name="CaixaDeTexto 107">
                <a:extLst>
                  <a:ext uri="{FF2B5EF4-FFF2-40B4-BE49-F238E27FC236}">
                    <a16:creationId xmlns:a16="http://schemas.microsoft.com/office/drawing/2014/main" id="{00000000-0008-0000-0600-00006C000000}"/>
                  </a:ext>
                </a:extLst>
              </xdr:cNvPr>
              <xdr:cNvSpPr txBox="1"/>
            </xdr:nvSpPr>
            <xdr:spPr>
              <a:xfrm>
                <a:off x="9053971" y="5191125"/>
                <a:ext cx="1349985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algn="r"/>
                <a:r>
                  <a: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TOTAL CATEGORIAS</a:t>
                </a:r>
              </a:p>
            </xdr:txBody>
          </xdr:sp>
          <xdr:grpSp>
            <xdr:nvGrpSpPr>
              <xdr:cNvPr id="150" name="Agrupar 149">
                <a:extLst>
                  <a:ext uri="{FF2B5EF4-FFF2-40B4-BE49-F238E27FC236}">
                    <a16:creationId xmlns:a16="http://schemas.microsoft.com/office/drawing/2014/main" id="{00000000-0008-0000-0600-000096000000}"/>
                  </a:ext>
                </a:extLst>
              </xdr:cNvPr>
              <xdr:cNvGrpSpPr/>
            </xdr:nvGrpSpPr>
            <xdr:grpSpPr>
              <a:xfrm>
                <a:off x="7189064" y="5945433"/>
                <a:ext cx="1790700" cy="224933"/>
                <a:chOff x="9389339" y="5116758"/>
                <a:chExt cx="1790700" cy="224933"/>
              </a:xfrm>
            </xdr:grpSpPr>
            <xdr:cxnSp macro="">
              <xdr:nvCxnSpPr>
                <xdr:cNvPr id="151" name="Conector reto 150">
                  <a:extLst>
                    <a:ext uri="{FF2B5EF4-FFF2-40B4-BE49-F238E27FC236}">
                      <a16:creationId xmlns:a16="http://schemas.microsoft.com/office/drawing/2014/main" id="{00000000-0008-0000-0600-000097000000}"/>
                    </a:ext>
                  </a:extLst>
                </xdr:cNvPr>
                <xdr:cNvCxnSpPr/>
              </xdr:nvCxnSpPr>
              <xdr:spPr>
                <a:xfrm>
                  <a:off x="9389339" y="5229224"/>
                  <a:ext cx="266700" cy="0"/>
                </a:xfrm>
                <a:prstGeom prst="line">
                  <a:avLst/>
                </a:prstGeom>
                <a:ln w="28575">
                  <a:solidFill>
                    <a:schemeClr val="bg1">
                      <a:lumMod val="50000"/>
                    </a:schemeClr>
                  </a:solidFill>
                  <a:prstDash val="sys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2" name="CaixaDeTexto 151">
                  <a:extLst>
                    <a:ext uri="{FF2B5EF4-FFF2-40B4-BE49-F238E27FC236}">
                      <a16:creationId xmlns:a16="http://schemas.microsoft.com/office/drawing/2014/main" id="{00000000-0008-0000-0600-000098000000}"/>
                    </a:ext>
                  </a:extLst>
                </xdr:cNvPr>
                <xdr:cNvSpPr txBox="1"/>
              </xdr:nvSpPr>
              <xdr:spPr>
                <a:xfrm>
                  <a:off x="9636989" y="5116758"/>
                  <a:ext cx="1543050" cy="2249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r>
                    <a:rPr lang="pt-BR" sz="9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CATEGORIA ESCOLHIDA</a:t>
                  </a:r>
                </a:p>
              </xdr:txBody>
            </xdr:sp>
          </xdr:grpSp>
          <xdr:grpSp>
            <xdr:nvGrpSpPr>
              <xdr:cNvPr id="153" name="Agrupar 152">
                <a:extLst>
                  <a:ext uri="{FF2B5EF4-FFF2-40B4-BE49-F238E27FC236}">
                    <a16:creationId xmlns:a16="http://schemas.microsoft.com/office/drawing/2014/main" id="{00000000-0008-0000-0600-000099000000}"/>
                  </a:ext>
                </a:extLst>
              </xdr:cNvPr>
              <xdr:cNvGrpSpPr/>
            </xdr:nvGrpSpPr>
            <xdr:grpSpPr>
              <a:xfrm>
                <a:off x="5588714" y="5945433"/>
                <a:ext cx="1685926" cy="224933"/>
                <a:chOff x="9579689" y="5116758"/>
                <a:chExt cx="1685926" cy="224933"/>
              </a:xfrm>
            </xdr:grpSpPr>
            <xdr:cxnSp macro="">
              <xdr:nvCxnSpPr>
                <xdr:cNvPr id="154" name="Conector reto 153">
                  <a:extLst>
                    <a:ext uri="{FF2B5EF4-FFF2-40B4-BE49-F238E27FC236}">
                      <a16:creationId xmlns:a16="http://schemas.microsoft.com/office/drawing/2014/main" id="{00000000-0008-0000-0600-00009A000000}"/>
                    </a:ext>
                  </a:extLst>
                </xdr:cNvPr>
                <xdr:cNvCxnSpPr/>
              </xdr:nvCxnSpPr>
              <xdr:spPr>
                <a:xfrm>
                  <a:off x="9579689" y="5229224"/>
                  <a:ext cx="266700" cy="0"/>
                </a:xfrm>
                <a:prstGeom prst="line">
                  <a:avLst/>
                </a:prstGeom>
                <a:ln w="28575">
                  <a:solidFill>
                    <a:srgbClr val="FF2F2F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5" name="CaixaDeTexto 154">
                  <a:extLst>
                    <a:ext uri="{FF2B5EF4-FFF2-40B4-BE49-F238E27FC236}">
                      <a16:creationId xmlns:a16="http://schemas.microsoft.com/office/drawing/2014/main" id="{00000000-0008-0000-0600-00009B000000}"/>
                    </a:ext>
                  </a:extLst>
                </xdr:cNvPr>
                <xdr:cNvSpPr txBox="1"/>
              </xdr:nvSpPr>
              <xdr:spPr>
                <a:xfrm>
                  <a:off x="9827340" y="5116758"/>
                  <a:ext cx="1438275" cy="2249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r>
                    <a:rPr lang="pt-BR" sz="9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TOTAL CATEGORIAS</a:t>
                  </a:r>
                </a:p>
              </xdr:txBody>
            </xdr:sp>
          </xdr:grpSp>
          <xdr:sp macro="" textlink="SUPORTE!P77">
            <xdr:nvSpPr>
              <xdr:cNvPr id="156" name="CaixaDeTexto 155">
                <a:extLst>
                  <a:ext uri="{FF2B5EF4-FFF2-40B4-BE49-F238E27FC236}">
                    <a16:creationId xmlns:a16="http://schemas.microsoft.com/office/drawing/2014/main" id="{00000000-0008-0000-0600-00009C000000}"/>
                  </a:ext>
                </a:extLst>
              </xdr:cNvPr>
              <xdr:cNvSpPr txBox="1"/>
            </xdr:nvSpPr>
            <xdr:spPr>
              <a:xfrm>
                <a:off x="8681402" y="5473700"/>
                <a:ext cx="2005494" cy="46801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C115B37B-24C6-475A-AC5F-897C30B8A9F2}" type="TxLink">
                  <a:rPr lang="en-US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rPr>
                  <a:pPr marL="0" indent="0" algn="r"/>
                  <a:t> R$26.080,00 </a:t>
                </a:fld>
                <a:endParaRPr lang="pt-BR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57" name="CaixaDeTexto 156">
                <a:extLst>
                  <a:ext uri="{FF2B5EF4-FFF2-40B4-BE49-F238E27FC236}">
                    <a16:creationId xmlns:a16="http://schemas.microsoft.com/office/drawing/2014/main" id="{00000000-0008-0000-0600-00009D000000}"/>
                  </a:ext>
                </a:extLst>
              </xdr:cNvPr>
              <xdr:cNvSpPr txBox="1"/>
            </xdr:nvSpPr>
            <xdr:spPr>
              <a:xfrm>
                <a:off x="8976651" y="5756275"/>
                <a:ext cx="1700145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algn="r"/>
                <a:r>
                  <a: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ACUMULADO</a:t>
                </a:r>
                <a:r>
                  <a:rPr lang="pt-BR" sz="900" b="1" baseline="0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 CATEGORIA</a:t>
                </a:r>
                <a:endParaRPr lang="pt-BR" sz="900" b="1">
                  <a:solidFill>
                    <a:schemeClr val="bg1">
                      <a:lumMod val="75000"/>
                    </a:schemeClr>
                  </a:solidFill>
                  <a:latin typeface="Ubuntu" panose="020B0504030602030204" pitchFamily="34" charset="0"/>
                </a:endParaRPr>
              </a:p>
            </xdr:txBody>
          </xdr:sp>
        </xdr:grpSp>
      </xdr:grpSp>
      <xdr:grpSp>
        <xdr:nvGrpSpPr>
          <xdr:cNvPr id="171" name="Agrupar 170"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GrpSpPr/>
        </xdr:nvGrpSpPr>
        <xdr:grpSpPr>
          <a:xfrm>
            <a:off x="76199" y="676275"/>
            <a:ext cx="11062612" cy="3257550"/>
            <a:chOff x="76199" y="676275"/>
            <a:chExt cx="11062612" cy="3257550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/>
          </xdr:nvSpPr>
          <xdr:spPr>
            <a:xfrm>
              <a:off x="76199" y="676275"/>
              <a:ext cx="11062612" cy="32575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>
                <a:solidFill>
                  <a:srgbClr val="FF9797"/>
                </a:solidFill>
              </a:endParaRPr>
            </a:p>
          </xdr:txBody>
        </xdr: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/>
          </xdr:nvSpPr>
          <xdr:spPr>
            <a:xfrm>
              <a:off x="114300" y="771525"/>
              <a:ext cx="2927190" cy="298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4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TOP 10 MAIORES</a:t>
              </a:r>
              <a:r>
                <a:rPr lang="pt-BR" sz="1400" b="1" baseline="0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 </a:t>
              </a:r>
              <a:r>
                <a:rPr lang="pt-BR" sz="1400" b="1" baseline="0">
                  <a:solidFill>
                    <a:srgbClr val="FF2F2F"/>
                  </a:solidFill>
                  <a:latin typeface="Ubuntu" panose="020B0504030602030204" pitchFamily="34" charset="0"/>
                </a:rPr>
                <a:t>DESPESAS</a:t>
              </a:r>
              <a:r>
                <a:rPr lang="pt-BR" sz="1400" b="1" baseline="0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 EM</a:t>
              </a:r>
              <a:endParaRPr lang="pt-BR" sz="14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endParaRPr>
            </a:p>
          </xdr:txBody>
        </xdr:sp>
        <xdr:cxnSp macro="">
          <xdr:nvCxnSpPr>
            <xdr:cNvPr id="14" name="Conector reto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CxnSpPr/>
          </xdr:nvCxnSpPr>
          <xdr:spPr>
            <a:xfrm>
              <a:off x="114300" y="1095375"/>
              <a:ext cx="4714875" cy="0"/>
            </a:xfrm>
            <a:prstGeom prst="line">
              <a:avLst/>
            </a:prstGeom>
            <a:ln>
              <a:solidFill>
                <a:srgbClr val="FFB7B7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SUPORTE!C3">
          <xdr:nvSpPr>
            <xdr:cNvPr id="100" name="CaixaDeTexto 99">
              <a:extLst>
                <a:ext uri="{FF2B5EF4-FFF2-40B4-BE49-F238E27FC236}">
                  <a16:creationId xmlns:a16="http://schemas.microsoft.com/office/drawing/2014/main" id="{00000000-0008-0000-0600-000064000000}"/>
                </a:ext>
              </a:extLst>
            </xdr:cNvPr>
            <xdr:cNvSpPr txBox="1"/>
          </xdr:nvSpPr>
          <xdr:spPr>
            <a:xfrm>
              <a:off x="2876506" y="771525"/>
              <a:ext cx="60067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/>
              <a:fld id="{BD95CE4C-7F3A-472E-B5CD-02510DECF2D5}" type="TxLink"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Ubuntu" panose="020B0504030602030204" pitchFamily="34" charset="0"/>
                  <a:ea typeface="+mn-ea"/>
                  <a:cs typeface="Calibri"/>
                </a:rPr>
                <a:pPr marL="0" indent="0"/>
                <a:t>2025</a:t>
              </a:fld>
              <a:endParaRPr lang="pt-BR" sz="1400" b="1">
                <a:solidFill>
                  <a:schemeClr val="tx1">
                    <a:lumMod val="75000"/>
                    <a:lumOff val="2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grpSp>
          <xdr:nvGrpSpPr>
            <xdr:cNvPr id="165" name="Agrupar 164">
              <a:extLst>
                <a:ext uri="{FF2B5EF4-FFF2-40B4-BE49-F238E27FC236}">
                  <a16:creationId xmlns:a16="http://schemas.microsoft.com/office/drawing/2014/main" id="{00000000-0008-0000-0600-0000A5000000}"/>
                </a:ext>
              </a:extLst>
            </xdr:cNvPr>
            <xdr:cNvGrpSpPr/>
          </xdr:nvGrpSpPr>
          <xdr:grpSpPr>
            <a:xfrm>
              <a:off x="133350" y="1190625"/>
              <a:ext cx="4621833" cy="2714072"/>
              <a:chOff x="133350" y="1190625"/>
              <a:chExt cx="4621833" cy="2714072"/>
            </a:xfrm>
          </xdr:grpSpPr>
          <xdr:cxnSp macro="">
            <xdr:nvCxnSpPr>
              <xdr:cNvPr id="85" name="Conector reto 84">
                <a:extLst>
                  <a:ext uri="{FF2B5EF4-FFF2-40B4-BE49-F238E27FC236}">
                    <a16:creationId xmlns:a16="http://schemas.microsoft.com/office/drawing/2014/main" id="{00000000-0008-0000-0600-000055000000}"/>
                  </a:ext>
                </a:extLst>
              </xdr:cNvPr>
              <xdr:cNvCxnSpPr/>
            </xdr:nvCxnSpPr>
            <xdr:spPr>
              <a:xfrm>
                <a:off x="190500" y="2428875"/>
                <a:ext cx="4500000" cy="0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63" name="Agrupar 162">
                <a:extLst>
                  <a:ext uri="{FF2B5EF4-FFF2-40B4-BE49-F238E27FC236}">
                    <a16:creationId xmlns:a16="http://schemas.microsoft.com/office/drawing/2014/main" id="{00000000-0008-0000-0600-0000A3000000}"/>
                  </a:ext>
                </a:extLst>
              </xdr:cNvPr>
              <xdr:cNvGrpSpPr/>
            </xdr:nvGrpSpPr>
            <xdr:grpSpPr>
              <a:xfrm>
                <a:off x="133350" y="1190625"/>
                <a:ext cx="4621833" cy="2714072"/>
                <a:chOff x="133350" y="1190625"/>
                <a:chExt cx="4621833" cy="2714072"/>
              </a:xfrm>
            </xdr:grpSpPr>
            <xdr:cxnSp macro="">
              <xdr:nvCxnSpPr>
                <xdr:cNvPr id="83" name="Conector reto 82">
                  <a:extLst>
                    <a:ext uri="{FF2B5EF4-FFF2-40B4-BE49-F238E27FC236}">
                      <a16:creationId xmlns:a16="http://schemas.microsoft.com/office/drawing/2014/main" id="{00000000-0008-0000-0600-000053000000}"/>
                    </a:ext>
                  </a:extLst>
                </xdr:cNvPr>
                <xdr:cNvCxnSpPr/>
              </xdr:nvCxnSpPr>
              <xdr:spPr>
                <a:xfrm>
                  <a:off x="190500" y="1952625"/>
                  <a:ext cx="4500000" cy="0"/>
                </a:xfrm>
                <a:prstGeom prst="line">
                  <a:avLst/>
                </a:prstGeom>
                <a:ln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60" name="Agrupar 159">
                  <a:extLst>
                    <a:ext uri="{FF2B5EF4-FFF2-40B4-BE49-F238E27FC236}">
                      <a16:creationId xmlns:a16="http://schemas.microsoft.com/office/drawing/2014/main" id="{00000000-0008-0000-0600-0000A0000000}"/>
                    </a:ext>
                  </a:extLst>
                </xdr:cNvPr>
                <xdr:cNvGrpSpPr/>
              </xdr:nvGrpSpPr>
              <xdr:grpSpPr>
                <a:xfrm>
                  <a:off x="133350" y="1190625"/>
                  <a:ext cx="4621833" cy="2714072"/>
                  <a:chOff x="133350" y="1190625"/>
                  <a:chExt cx="4621833" cy="2714072"/>
                </a:xfrm>
              </xdr:grpSpPr>
              <xdr:sp macro="" textlink="">
                <xdr:nvSpPr>
                  <xdr:cNvPr id="21" name="CaixaDeTexto 20">
                    <a:extLst>
                      <a:ext uri="{FF2B5EF4-FFF2-40B4-BE49-F238E27FC236}">
                        <a16:creationId xmlns:a16="http://schemas.microsoft.com/office/drawing/2014/main" id="{00000000-0008-0000-0600-000015000000}"/>
                      </a:ext>
                    </a:extLst>
                  </xdr:cNvPr>
                  <xdr:cNvSpPr txBox="1"/>
                </xdr:nvSpPr>
                <xdr:spPr>
                  <a:xfrm>
                    <a:off x="133350" y="14696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1</a:t>
                    </a:r>
                  </a:p>
                </xdr:txBody>
              </xdr:sp>
              <xdr:sp macro="" textlink="SUPORTE!D63">
                <xdr:nvSpPr>
                  <xdr:cNvPr id="22" name="CaixaDeTexto 21">
                    <a:extLst>
                      <a:ext uri="{FF2B5EF4-FFF2-40B4-BE49-F238E27FC236}">
                        <a16:creationId xmlns:a16="http://schemas.microsoft.com/office/drawing/2014/main" id="{00000000-0008-0000-0600-000016000000}"/>
                      </a:ext>
                    </a:extLst>
                  </xdr:cNvPr>
                  <xdr:cNvSpPr txBox="1"/>
                </xdr:nvSpPr>
                <xdr:spPr>
                  <a:xfrm>
                    <a:off x="409575" y="1481367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0DE31B36-9C67-441E-9E4E-9F10973FCE9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FINANCIAMENTO IMÓVEL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3">
                <xdr:nvSpPr>
                  <xdr:cNvPr id="23" name="CaixaDeTexto 22">
                    <a:extLst>
                      <a:ext uri="{FF2B5EF4-FFF2-40B4-BE49-F238E27FC236}">
                        <a16:creationId xmlns:a16="http://schemas.microsoft.com/office/drawing/2014/main" id="{00000000-0008-0000-0600-000017000000}"/>
                      </a:ext>
                    </a:extLst>
                  </xdr:cNvPr>
                  <xdr:cNvSpPr txBox="1"/>
                </xdr:nvSpPr>
                <xdr:spPr>
                  <a:xfrm>
                    <a:off x="3124198" y="1455967"/>
                    <a:ext cx="1055819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59815E1-54AD-4F45-A22D-24884103B80B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R$15.300,00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24" name="CaixaDeTexto 23">
                    <a:extLst>
                      <a:ext uri="{FF2B5EF4-FFF2-40B4-BE49-F238E27FC236}">
                        <a16:creationId xmlns:a16="http://schemas.microsoft.com/office/drawing/2014/main" id="{00000000-0008-0000-0600-000018000000}"/>
                      </a:ext>
                    </a:extLst>
                  </xdr:cNvPr>
                  <xdr:cNvSpPr txBox="1"/>
                </xdr:nvSpPr>
                <xdr:spPr>
                  <a:xfrm>
                    <a:off x="428625" y="1190625"/>
                    <a:ext cx="873089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DESPESA</a:t>
                    </a:r>
                  </a:p>
                </xdr:txBody>
              </xdr:sp>
              <xdr:sp macro="" textlink="">
                <xdr:nvSpPr>
                  <xdr:cNvPr id="25" name="CaixaDeTexto 24">
                    <a:extLst>
                      <a:ext uri="{FF2B5EF4-FFF2-40B4-BE49-F238E27FC236}">
                        <a16:creationId xmlns:a16="http://schemas.microsoft.com/office/drawing/2014/main" id="{00000000-0008-0000-0600-000019000000}"/>
                      </a:ext>
                    </a:extLst>
                  </xdr:cNvPr>
                  <xdr:cNvSpPr txBox="1"/>
                </xdr:nvSpPr>
                <xdr:spPr>
                  <a:xfrm>
                    <a:off x="3181350" y="1190625"/>
                    <a:ext cx="717077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VALOR</a:t>
                    </a:r>
                  </a:p>
                </xdr:txBody>
              </xdr:sp>
              <xdr:sp macro="" textlink="">
                <xdr:nvSpPr>
                  <xdr:cNvPr id="26" name="CaixaDeTexto 25">
                    <a:extLst>
                      <a:ext uri="{FF2B5EF4-FFF2-40B4-BE49-F238E27FC236}">
                        <a16:creationId xmlns:a16="http://schemas.microsoft.com/office/drawing/2014/main" id="{00000000-0008-0000-0600-00001A000000}"/>
                      </a:ext>
                    </a:extLst>
                  </xdr:cNvPr>
                  <xdr:cNvSpPr txBox="1"/>
                </xdr:nvSpPr>
                <xdr:spPr>
                  <a:xfrm>
                    <a:off x="161925" y="1190625"/>
                    <a:ext cx="26129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Calibri"/>
                        <a:cs typeface="Calibri"/>
                      </a:rPr>
                      <a:t>#</a:t>
                    </a:r>
                  </a:p>
                </xdr:txBody>
              </xdr:sp>
              <xdr:sp macro="" textlink="">
                <xdr:nvSpPr>
                  <xdr:cNvPr id="27" name="CaixaDeTexto 26">
                    <a:extLst>
                      <a:ext uri="{FF2B5EF4-FFF2-40B4-BE49-F238E27FC236}">
                        <a16:creationId xmlns:a16="http://schemas.microsoft.com/office/drawing/2014/main" id="{00000000-0008-0000-0600-00001B000000}"/>
                      </a:ext>
                    </a:extLst>
                  </xdr:cNvPr>
                  <xdr:cNvSpPr txBox="1"/>
                </xdr:nvSpPr>
                <xdr:spPr>
                  <a:xfrm>
                    <a:off x="4391025" y="1190625"/>
                    <a:ext cx="325671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%</a:t>
                    </a:r>
                  </a:p>
                </xdr:txBody>
              </xdr:sp>
              <xdr:sp macro="" textlink="">
                <xdr:nvSpPr>
                  <xdr:cNvPr id="39" name="CaixaDeTexto 38">
                    <a:extLst>
                      <a:ext uri="{FF2B5EF4-FFF2-40B4-BE49-F238E27FC236}">
                        <a16:creationId xmlns:a16="http://schemas.microsoft.com/office/drawing/2014/main" id="{00000000-0008-0000-0600-000027000000}"/>
                      </a:ext>
                    </a:extLst>
                  </xdr:cNvPr>
                  <xdr:cNvSpPr txBox="1"/>
                </xdr:nvSpPr>
                <xdr:spPr>
                  <a:xfrm>
                    <a:off x="133350" y="170780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2</a:t>
                    </a:r>
                  </a:p>
                </xdr:txBody>
              </xdr:sp>
              <xdr:sp macro="" textlink="SUPORTE!D64">
                <xdr:nvSpPr>
                  <xdr:cNvPr id="40" name="CaixaDeTexto 39">
                    <a:extLst>
                      <a:ext uri="{FF2B5EF4-FFF2-40B4-BE49-F238E27FC236}">
                        <a16:creationId xmlns:a16="http://schemas.microsoft.com/office/drawing/2014/main" id="{00000000-0008-0000-0600-000028000000}"/>
                      </a:ext>
                    </a:extLst>
                  </xdr:cNvPr>
                  <xdr:cNvSpPr txBox="1"/>
                </xdr:nvSpPr>
                <xdr:spPr>
                  <a:xfrm>
                    <a:off x="409575" y="1719492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05530B10-F7FE-4D54-9AE2-77E384EDB161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FINANCIAMENTO CARRO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4">
                <xdr:nvSpPr>
                  <xdr:cNvPr id="41" name="CaixaDeTexto 40">
                    <a:extLst>
                      <a:ext uri="{FF2B5EF4-FFF2-40B4-BE49-F238E27FC236}">
                        <a16:creationId xmlns:a16="http://schemas.microsoft.com/office/drawing/2014/main" id="{00000000-0008-0000-0600-000029000000}"/>
                      </a:ext>
                    </a:extLst>
                  </xdr:cNvPr>
                  <xdr:cNvSpPr txBox="1"/>
                </xdr:nvSpPr>
                <xdr:spPr>
                  <a:xfrm>
                    <a:off x="3124198" y="16940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FEFE244E-8C1F-4E78-8216-F19A482A6B87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R$3.000,00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4">
                <xdr:nvSpPr>
                  <xdr:cNvPr id="42" name="CaixaDeTexto 41">
                    <a:extLst>
                      <a:ext uri="{FF2B5EF4-FFF2-40B4-BE49-F238E27FC236}">
                        <a16:creationId xmlns:a16="http://schemas.microsoft.com/office/drawing/2014/main" id="{00000000-0008-0000-0600-00002A000000}"/>
                      </a:ext>
                    </a:extLst>
                  </xdr:cNvPr>
                  <xdr:cNvSpPr txBox="1"/>
                </xdr:nvSpPr>
                <xdr:spPr>
                  <a:xfrm>
                    <a:off x="4332660" y="16906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4D33DED0-7B87-458E-909D-6FAF38F246D5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9%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47" name="CaixaDeTexto 46">
                    <a:extLst>
                      <a:ext uri="{FF2B5EF4-FFF2-40B4-BE49-F238E27FC236}">
                        <a16:creationId xmlns:a16="http://schemas.microsoft.com/office/drawing/2014/main" id="{00000000-0008-0000-0600-00002F000000}"/>
                      </a:ext>
                    </a:extLst>
                  </xdr:cNvPr>
                  <xdr:cNvSpPr txBox="1"/>
                </xdr:nvSpPr>
                <xdr:spPr>
                  <a:xfrm>
                    <a:off x="133350" y="194593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3</a:t>
                    </a:r>
                  </a:p>
                </xdr:txBody>
              </xdr:sp>
              <xdr:sp macro="" textlink="SUPORTE!D65">
                <xdr:nvSpPr>
                  <xdr:cNvPr id="48" name="CaixaDeTexto 47">
                    <a:extLst>
                      <a:ext uri="{FF2B5EF4-FFF2-40B4-BE49-F238E27FC236}">
                        <a16:creationId xmlns:a16="http://schemas.microsoft.com/office/drawing/2014/main" id="{00000000-0008-0000-0600-000030000000}"/>
                      </a:ext>
                    </a:extLst>
                  </xdr:cNvPr>
                  <xdr:cNvSpPr txBox="1"/>
                </xdr:nvSpPr>
                <xdr:spPr>
                  <a:xfrm>
                    <a:off x="409575" y="1957617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B0BC1588-D104-4288-AF4C-80AE0295F1A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IPTU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5">
                <xdr:nvSpPr>
                  <xdr:cNvPr id="49" name="CaixaDeTexto 48">
                    <a:extLst>
                      <a:ext uri="{FF2B5EF4-FFF2-40B4-BE49-F238E27FC236}">
                        <a16:creationId xmlns:a16="http://schemas.microsoft.com/office/drawing/2014/main" id="{00000000-0008-0000-0600-000031000000}"/>
                      </a:ext>
                    </a:extLst>
                  </xdr:cNvPr>
                  <xdr:cNvSpPr txBox="1"/>
                </xdr:nvSpPr>
                <xdr:spPr>
                  <a:xfrm>
                    <a:off x="3124198" y="193221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ACEC2D71-8D60-474C-8622-FDAD9DBC3E6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R$2.520,00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5">
                <xdr:nvSpPr>
                  <xdr:cNvPr id="50" name="CaixaDeTexto 49">
                    <a:extLst>
                      <a:ext uri="{FF2B5EF4-FFF2-40B4-BE49-F238E27FC236}">
                        <a16:creationId xmlns:a16="http://schemas.microsoft.com/office/drawing/2014/main" id="{00000000-0008-0000-0600-000032000000}"/>
                      </a:ext>
                    </a:extLst>
                  </xdr:cNvPr>
                  <xdr:cNvSpPr txBox="1"/>
                </xdr:nvSpPr>
                <xdr:spPr>
                  <a:xfrm>
                    <a:off x="4332660" y="19288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6F12C384-50DB-4103-ABFD-E83190F137D1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8%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1" name="CaixaDeTexto 50">
                    <a:extLst>
                      <a:ext uri="{FF2B5EF4-FFF2-40B4-BE49-F238E27FC236}">
                        <a16:creationId xmlns:a16="http://schemas.microsoft.com/office/drawing/2014/main" id="{00000000-0008-0000-0600-000033000000}"/>
                      </a:ext>
                    </a:extLst>
                  </xdr:cNvPr>
                  <xdr:cNvSpPr txBox="1"/>
                </xdr:nvSpPr>
                <xdr:spPr>
                  <a:xfrm>
                    <a:off x="133350" y="218405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4</a:t>
                    </a:r>
                  </a:p>
                </xdr:txBody>
              </xdr:sp>
              <xdr:sp macro="" textlink="SUPORTE!D66">
                <xdr:nvSpPr>
                  <xdr:cNvPr id="52" name="CaixaDeTexto 51">
                    <a:extLst>
                      <a:ext uri="{FF2B5EF4-FFF2-40B4-BE49-F238E27FC236}">
                        <a16:creationId xmlns:a16="http://schemas.microsoft.com/office/drawing/2014/main" id="{00000000-0008-0000-0600-000034000000}"/>
                      </a:ext>
                    </a:extLst>
                  </xdr:cNvPr>
                  <xdr:cNvSpPr txBox="1"/>
                </xdr:nvSpPr>
                <xdr:spPr>
                  <a:xfrm>
                    <a:off x="409575" y="2195742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8F6FFDCE-95C4-420A-86C0-B846B2D2AB4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EMPREGADA DOMÉSTICA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6">
                <xdr:nvSpPr>
                  <xdr:cNvPr id="53" name="CaixaDeTexto 52">
                    <a:extLst>
                      <a:ext uri="{FF2B5EF4-FFF2-40B4-BE49-F238E27FC236}">
                        <a16:creationId xmlns:a16="http://schemas.microsoft.com/office/drawing/2014/main" id="{00000000-0008-0000-0600-000035000000}"/>
                      </a:ext>
                    </a:extLst>
                  </xdr:cNvPr>
                  <xdr:cNvSpPr txBox="1"/>
                </xdr:nvSpPr>
                <xdr:spPr>
                  <a:xfrm>
                    <a:off x="3124198" y="217034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71E3503-85B6-422A-B3B5-07A82E4C294D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R$1.800,00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6">
                <xdr:nvSpPr>
                  <xdr:cNvPr id="54" name="CaixaDeTexto 53">
                    <a:extLst>
                      <a:ext uri="{FF2B5EF4-FFF2-40B4-BE49-F238E27FC236}">
                        <a16:creationId xmlns:a16="http://schemas.microsoft.com/office/drawing/2014/main" id="{00000000-0008-0000-0600-000036000000}"/>
                      </a:ext>
                    </a:extLst>
                  </xdr:cNvPr>
                  <xdr:cNvSpPr txBox="1"/>
                </xdr:nvSpPr>
                <xdr:spPr>
                  <a:xfrm>
                    <a:off x="4332660" y="216693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E75D26A3-40E7-4108-8D7F-F4B21FE512DE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6%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5" name="CaixaDeTexto 54">
                    <a:extLst>
                      <a:ext uri="{FF2B5EF4-FFF2-40B4-BE49-F238E27FC236}">
                        <a16:creationId xmlns:a16="http://schemas.microsoft.com/office/drawing/2014/main" id="{00000000-0008-0000-0600-000037000000}"/>
                      </a:ext>
                    </a:extLst>
                  </xdr:cNvPr>
                  <xdr:cNvSpPr txBox="1"/>
                </xdr:nvSpPr>
                <xdr:spPr>
                  <a:xfrm>
                    <a:off x="133350" y="24221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5</a:t>
                    </a:r>
                  </a:p>
                </xdr:txBody>
              </xdr:sp>
              <xdr:sp macro="" textlink="SUPORTE!D67">
                <xdr:nvSpPr>
                  <xdr:cNvPr id="56" name="CaixaDeTexto 55">
                    <a:extLst>
                      <a:ext uri="{FF2B5EF4-FFF2-40B4-BE49-F238E27FC236}">
                        <a16:creationId xmlns:a16="http://schemas.microsoft.com/office/drawing/2014/main" id="{00000000-0008-0000-0600-000038000000}"/>
                      </a:ext>
                    </a:extLst>
                  </xdr:cNvPr>
                  <xdr:cNvSpPr txBox="1"/>
                </xdr:nvSpPr>
                <xdr:spPr>
                  <a:xfrm>
                    <a:off x="409575" y="2433868"/>
                    <a:ext cx="2304000" cy="26805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238D0BD7-4562-453A-9550-9C867A9DD4C6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INTERNET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7">
                <xdr:nvSpPr>
                  <xdr:cNvPr id="57" name="CaixaDeTexto 56">
                    <a:extLst>
                      <a:ext uri="{FF2B5EF4-FFF2-40B4-BE49-F238E27FC236}">
                        <a16:creationId xmlns:a16="http://schemas.microsoft.com/office/drawing/2014/main" id="{00000000-0008-0000-0600-000039000000}"/>
                      </a:ext>
                    </a:extLst>
                  </xdr:cNvPr>
                  <xdr:cNvSpPr txBox="1"/>
                </xdr:nvSpPr>
                <xdr:spPr>
                  <a:xfrm>
                    <a:off x="3124198" y="240846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9FAD990-B426-4718-B249-EEEAB231AE1A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R$1.800,00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7">
                <xdr:nvSpPr>
                  <xdr:cNvPr id="58" name="CaixaDeTexto 57">
                    <a:extLst>
                      <a:ext uri="{FF2B5EF4-FFF2-40B4-BE49-F238E27FC236}">
                        <a16:creationId xmlns:a16="http://schemas.microsoft.com/office/drawing/2014/main" id="{00000000-0008-0000-0600-00003A000000}"/>
                      </a:ext>
                    </a:extLst>
                  </xdr:cNvPr>
                  <xdr:cNvSpPr txBox="1"/>
                </xdr:nvSpPr>
                <xdr:spPr>
                  <a:xfrm>
                    <a:off x="4332660" y="240506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D5932192-C7F4-479C-A7B2-444C2583CB79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6%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9" name="CaixaDeTexto 58">
                    <a:extLst>
                      <a:ext uri="{FF2B5EF4-FFF2-40B4-BE49-F238E27FC236}">
                        <a16:creationId xmlns:a16="http://schemas.microsoft.com/office/drawing/2014/main" id="{00000000-0008-0000-0600-00003B000000}"/>
                      </a:ext>
                    </a:extLst>
                  </xdr:cNvPr>
                  <xdr:cNvSpPr txBox="1"/>
                </xdr:nvSpPr>
                <xdr:spPr>
                  <a:xfrm>
                    <a:off x="133350" y="266030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6</a:t>
                    </a:r>
                  </a:p>
                </xdr:txBody>
              </xdr:sp>
              <xdr:sp macro="" textlink="SUPORTE!D68">
                <xdr:nvSpPr>
                  <xdr:cNvPr id="60" name="CaixaDeTexto 59">
                    <a:extLst>
                      <a:ext uri="{FF2B5EF4-FFF2-40B4-BE49-F238E27FC236}">
                        <a16:creationId xmlns:a16="http://schemas.microsoft.com/office/drawing/2014/main" id="{00000000-0008-0000-0600-00003C000000}"/>
                      </a:ext>
                    </a:extLst>
                  </xdr:cNvPr>
                  <xdr:cNvSpPr txBox="1"/>
                </xdr:nvSpPr>
                <xdr:spPr>
                  <a:xfrm>
                    <a:off x="409575" y="267199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FF726F86-A32E-486E-91F5-A7561D4999C9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ÁGUA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8">
                <xdr:nvSpPr>
                  <xdr:cNvPr id="61" name="CaixaDeTexto 60">
                    <a:extLst>
                      <a:ext uri="{FF2B5EF4-FFF2-40B4-BE49-F238E27FC236}">
                        <a16:creationId xmlns:a16="http://schemas.microsoft.com/office/drawing/2014/main" id="{00000000-0008-0000-0600-00003D000000}"/>
                      </a:ext>
                    </a:extLst>
                  </xdr:cNvPr>
                  <xdr:cNvSpPr txBox="1"/>
                </xdr:nvSpPr>
                <xdr:spPr>
                  <a:xfrm>
                    <a:off x="3124198" y="26465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FE76429-9FDB-4955-BCDD-2FE0E14ED515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R$1.560,00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8">
                <xdr:nvSpPr>
                  <xdr:cNvPr id="62" name="CaixaDeTexto 61">
                    <a:extLst>
                      <a:ext uri="{FF2B5EF4-FFF2-40B4-BE49-F238E27FC236}">
                        <a16:creationId xmlns:a16="http://schemas.microsoft.com/office/drawing/2014/main" id="{00000000-0008-0000-0600-00003E000000}"/>
                      </a:ext>
                    </a:extLst>
                  </xdr:cNvPr>
                  <xdr:cNvSpPr txBox="1"/>
                </xdr:nvSpPr>
                <xdr:spPr>
                  <a:xfrm>
                    <a:off x="4332660" y="26431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904AAE8B-5CF1-45D2-9AD5-8FF835944E76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5%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63" name="CaixaDeTexto 62">
                    <a:extLst>
                      <a:ext uri="{FF2B5EF4-FFF2-40B4-BE49-F238E27FC236}">
                        <a16:creationId xmlns:a16="http://schemas.microsoft.com/office/drawing/2014/main" id="{00000000-0008-0000-0600-00003F000000}"/>
                      </a:ext>
                    </a:extLst>
                  </xdr:cNvPr>
                  <xdr:cNvSpPr txBox="1"/>
                </xdr:nvSpPr>
                <xdr:spPr>
                  <a:xfrm>
                    <a:off x="133350" y="289843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7</a:t>
                    </a:r>
                  </a:p>
                </xdr:txBody>
              </xdr:sp>
              <xdr:sp macro="" textlink="SUPORTE!D69">
                <xdr:nvSpPr>
                  <xdr:cNvPr id="64" name="CaixaDeTexto 63">
                    <a:extLst>
                      <a:ext uri="{FF2B5EF4-FFF2-40B4-BE49-F238E27FC236}">
                        <a16:creationId xmlns:a16="http://schemas.microsoft.com/office/drawing/2014/main" id="{00000000-0008-0000-0600-000040000000}"/>
                      </a:ext>
                    </a:extLst>
                  </xdr:cNvPr>
                  <xdr:cNvSpPr txBox="1"/>
                </xdr:nvSpPr>
                <xdr:spPr>
                  <a:xfrm>
                    <a:off x="409575" y="2910117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B4BCD894-671E-4AA4-B199-BC77F407D65E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MANUTENÇÃO CASA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9">
                <xdr:nvSpPr>
                  <xdr:cNvPr id="65" name="CaixaDeTexto 64">
                    <a:extLst>
                      <a:ext uri="{FF2B5EF4-FFF2-40B4-BE49-F238E27FC236}">
                        <a16:creationId xmlns:a16="http://schemas.microsoft.com/office/drawing/2014/main" id="{00000000-0008-0000-0600-000041000000}"/>
                      </a:ext>
                    </a:extLst>
                  </xdr:cNvPr>
                  <xdr:cNvSpPr txBox="1"/>
                </xdr:nvSpPr>
                <xdr:spPr>
                  <a:xfrm>
                    <a:off x="3124198" y="28751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B9835C5E-FAFE-4680-90B5-882CD76EAC4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R$1.240,00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9">
                <xdr:nvSpPr>
                  <xdr:cNvPr id="66" name="CaixaDeTexto 65">
                    <a:extLst>
                      <a:ext uri="{FF2B5EF4-FFF2-40B4-BE49-F238E27FC236}">
                        <a16:creationId xmlns:a16="http://schemas.microsoft.com/office/drawing/2014/main" id="{00000000-0008-0000-0600-000042000000}"/>
                      </a:ext>
                    </a:extLst>
                  </xdr:cNvPr>
                  <xdr:cNvSpPr txBox="1"/>
                </xdr:nvSpPr>
                <xdr:spPr>
                  <a:xfrm>
                    <a:off x="4332660" y="28813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A6E5D477-70E3-49C7-9DD3-F8EC0ACF9A7E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67" name="CaixaDeTexto 66">
                    <a:extLst>
                      <a:ext uri="{FF2B5EF4-FFF2-40B4-BE49-F238E27FC236}">
                        <a16:creationId xmlns:a16="http://schemas.microsoft.com/office/drawing/2014/main" id="{00000000-0008-0000-0600-000043000000}"/>
                      </a:ext>
                    </a:extLst>
                  </xdr:cNvPr>
                  <xdr:cNvSpPr txBox="1"/>
                </xdr:nvSpPr>
                <xdr:spPr>
                  <a:xfrm>
                    <a:off x="133350" y="313655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8</a:t>
                    </a:r>
                  </a:p>
                </xdr:txBody>
              </xdr:sp>
              <xdr:sp macro="" textlink="SUPORTE!D70">
                <xdr:nvSpPr>
                  <xdr:cNvPr id="68" name="CaixaDeTexto 67">
                    <a:extLst>
                      <a:ext uri="{FF2B5EF4-FFF2-40B4-BE49-F238E27FC236}">
                        <a16:creationId xmlns:a16="http://schemas.microsoft.com/office/drawing/2014/main" id="{00000000-0008-0000-0600-000044000000}"/>
                      </a:ext>
                    </a:extLst>
                  </xdr:cNvPr>
                  <xdr:cNvSpPr txBox="1"/>
                </xdr:nvSpPr>
                <xdr:spPr>
                  <a:xfrm>
                    <a:off x="409575" y="314824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00077314-3729-4184-8EDB-0DE671C419A7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COMBUSTÍVEL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0">
                <xdr:nvSpPr>
                  <xdr:cNvPr id="69" name="CaixaDeTexto 68">
                    <a:extLst>
                      <a:ext uri="{FF2B5EF4-FFF2-40B4-BE49-F238E27FC236}">
                        <a16:creationId xmlns:a16="http://schemas.microsoft.com/office/drawing/2014/main" id="{00000000-0008-0000-0600-000045000000}"/>
                      </a:ext>
                    </a:extLst>
                  </xdr:cNvPr>
                  <xdr:cNvSpPr txBox="1"/>
                </xdr:nvSpPr>
                <xdr:spPr>
                  <a:xfrm>
                    <a:off x="3124198" y="313236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A327E13B-ED4B-47CC-83D4-5F20D074BBD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R$1.150,00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0">
                <xdr:nvSpPr>
                  <xdr:cNvPr id="70" name="CaixaDeTexto 69">
                    <a:extLst>
                      <a:ext uri="{FF2B5EF4-FFF2-40B4-BE49-F238E27FC236}">
                        <a16:creationId xmlns:a16="http://schemas.microsoft.com/office/drawing/2014/main" id="{00000000-0008-0000-0600-000046000000}"/>
                      </a:ext>
                    </a:extLst>
                  </xdr:cNvPr>
                  <xdr:cNvSpPr txBox="1"/>
                </xdr:nvSpPr>
                <xdr:spPr>
                  <a:xfrm>
                    <a:off x="4332660" y="311943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2BE4D6D8-549E-4012-B785-EE2B921C8F68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71" name="CaixaDeTexto 70">
                    <a:extLst>
                      <a:ext uri="{FF2B5EF4-FFF2-40B4-BE49-F238E27FC236}">
                        <a16:creationId xmlns:a16="http://schemas.microsoft.com/office/drawing/2014/main" id="{00000000-0008-0000-0600-000047000000}"/>
                      </a:ext>
                    </a:extLst>
                  </xdr:cNvPr>
                  <xdr:cNvSpPr txBox="1"/>
                </xdr:nvSpPr>
                <xdr:spPr>
                  <a:xfrm>
                    <a:off x="133350" y="33746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9</a:t>
                    </a:r>
                  </a:p>
                </xdr:txBody>
              </xdr:sp>
              <xdr:sp macro="" textlink="SUPORTE!D71">
                <xdr:nvSpPr>
                  <xdr:cNvPr id="72" name="CaixaDeTexto 71">
                    <a:extLst>
                      <a:ext uri="{FF2B5EF4-FFF2-40B4-BE49-F238E27FC236}">
                        <a16:creationId xmlns:a16="http://schemas.microsoft.com/office/drawing/2014/main" id="{00000000-0008-0000-0600-000048000000}"/>
                      </a:ext>
                    </a:extLst>
                  </xdr:cNvPr>
                  <xdr:cNvSpPr txBox="1"/>
                </xdr:nvSpPr>
                <xdr:spPr>
                  <a:xfrm>
                    <a:off x="409575" y="3392717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95E6AC66-BF34-4F2E-A4E4-B5CBEDFA5EE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LUZ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1">
                <xdr:nvSpPr>
                  <xdr:cNvPr id="73" name="CaixaDeTexto 72">
                    <a:extLst>
                      <a:ext uri="{FF2B5EF4-FFF2-40B4-BE49-F238E27FC236}">
                        <a16:creationId xmlns:a16="http://schemas.microsoft.com/office/drawing/2014/main" id="{00000000-0008-0000-0600-000049000000}"/>
                      </a:ext>
                    </a:extLst>
                  </xdr:cNvPr>
                  <xdr:cNvSpPr txBox="1"/>
                </xdr:nvSpPr>
                <xdr:spPr>
                  <a:xfrm>
                    <a:off x="3124198" y="335461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5F7814DE-BFDC-40CD-861C-07DC445DB52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R$1.080,00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1">
                <xdr:nvSpPr>
                  <xdr:cNvPr id="74" name="CaixaDeTexto 73">
                    <a:extLst>
                      <a:ext uri="{FF2B5EF4-FFF2-40B4-BE49-F238E27FC236}">
                        <a16:creationId xmlns:a16="http://schemas.microsoft.com/office/drawing/2014/main" id="{00000000-0008-0000-0600-00004A000000}"/>
                      </a:ext>
                    </a:extLst>
                  </xdr:cNvPr>
                  <xdr:cNvSpPr txBox="1"/>
                </xdr:nvSpPr>
                <xdr:spPr>
                  <a:xfrm>
                    <a:off x="4332660" y="33512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8B138834-4337-40B9-9BED-4FC196639C74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3%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75" name="CaixaDeTexto 74">
                    <a:extLst>
                      <a:ext uri="{FF2B5EF4-FFF2-40B4-BE49-F238E27FC236}">
                        <a16:creationId xmlns:a16="http://schemas.microsoft.com/office/drawing/2014/main" id="{00000000-0008-0000-0600-00004B000000}"/>
                      </a:ext>
                    </a:extLst>
                  </xdr:cNvPr>
                  <xdr:cNvSpPr txBox="1"/>
                </xdr:nvSpPr>
                <xdr:spPr>
                  <a:xfrm>
                    <a:off x="133350" y="3612805"/>
                    <a:ext cx="344571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10</a:t>
                    </a:r>
                  </a:p>
                </xdr:txBody>
              </xdr:sp>
              <xdr:sp macro="" textlink="SUPORTE!D72">
                <xdr:nvSpPr>
                  <xdr:cNvPr id="76" name="CaixaDeTexto 75">
                    <a:extLst>
                      <a:ext uri="{FF2B5EF4-FFF2-40B4-BE49-F238E27FC236}">
                        <a16:creationId xmlns:a16="http://schemas.microsoft.com/office/drawing/2014/main" id="{00000000-0008-0000-0600-00004C000000}"/>
                      </a:ext>
                    </a:extLst>
                  </xdr:cNvPr>
                  <xdr:cNvSpPr txBox="1"/>
                </xdr:nvSpPr>
                <xdr:spPr>
                  <a:xfrm>
                    <a:off x="409575" y="362449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317D3426-15F6-4434-AC87-D36461798B2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UBER / 99 TAXIS / ETC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2">
                <xdr:nvSpPr>
                  <xdr:cNvPr id="77" name="CaixaDeTexto 76">
                    <a:extLst>
                      <a:ext uri="{FF2B5EF4-FFF2-40B4-BE49-F238E27FC236}">
                        <a16:creationId xmlns:a16="http://schemas.microsoft.com/office/drawing/2014/main" id="{00000000-0008-0000-0600-00004D000000}"/>
                      </a:ext>
                    </a:extLst>
                  </xdr:cNvPr>
                  <xdr:cNvSpPr txBox="1"/>
                </xdr:nvSpPr>
                <xdr:spPr>
                  <a:xfrm>
                    <a:off x="3124198" y="3592742"/>
                    <a:ext cx="861108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E78412E8-CE3A-4D2C-B31A-F25089FB2B4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R$895,00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2">
                <xdr:nvSpPr>
                  <xdr:cNvPr id="78" name="CaixaDeTexto 77">
                    <a:extLst>
                      <a:ext uri="{FF2B5EF4-FFF2-40B4-BE49-F238E27FC236}">
                        <a16:creationId xmlns:a16="http://schemas.microsoft.com/office/drawing/2014/main" id="{00000000-0008-0000-0600-00004E000000}"/>
                      </a:ext>
                    </a:extLst>
                  </xdr:cNvPr>
                  <xdr:cNvSpPr txBox="1"/>
                </xdr:nvSpPr>
                <xdr:spPr>
                  <a:xfrm>
                    <a:off x="4332660" y="35829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27551774-58FB-448F-927E-A5F883B41594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3%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cxnSp macro="">
                <xdr:nvCxnSpPr>
                  <xdr:cNvPr id="82" name="Conector reto 81">
                    <a:extLst>
                      <a:ext uri="{FF2B5EF4-FFF2-40B4-BE49-F238E27FC236}">
                        <a16:creationId xmlns:a16="http://schemas.microsoft.com/office/drawing/2014/main" id="{00000000-0008-0000-0600-000052000000}"/>
                      </a:ext>
                    </a:extLst>
                  </xdr:cNvPr>
                  <xdr:cNvCxnSpPr/>
                </xdr:nvCxnSpPr>
                <xdr:spPr>
                  <a:xfrm>
                    <a:off x="190500" y="17145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Conector reto 83">
                    <a:extLst>
                      <a:ext uri="{FF2B5EF4-FFF2-40B4-BE49-F238E27FC236}">
                        <a16:creationId xmlns:a16="http://schemas.microsoft.com/office/drawing/2014/main" id="{00000000-0008-0000-0600-000054000000}"/>
                      </a:ext>
                    </a:extLst>
                  </xdr:cNvPr>
                  <xdr:cNvCxnSpPr/>
                </xdr:nvCxnSpPr>
                <xdr:spPr>
                  <a:xfrm>
                    <a:off x="190500" y="219075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Conector reto 85">
                    <a:extLst>
                      <a:ext uri="{FF2B5EF4-FFF2-40B4-BE49-F238E27FC236}">
                        <a16:creationId xmlns:a16="http://schemas.microsoft.com/office/drawing/2014/main" id="{00000000-0008-0000-0600-000056000000}"/>
                      </a:ext>
                    </a:extLst>
                  </xdr:cNvPr>
                  <xdr:cNvCxnSpPr/>
                </xdr:nvCxnSpPr>
                <xdr:spPr>
                  <a:xfrm>
                    <a:off x="190500" y="26670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Conector reto 86">
                    <a:extLst>
                      <a:ext uri="{FF2B5EF4-FFF2-40B4-BE49-F238E27FC236}">
                        <a16:creationId xmlns:a16="http://schemas.microsoft.com/office/drawing/2014/main" id="{00000000-0008-0000-0600-000057000000}"/>
                      </a:ext>
                    </a:extLst>
                  </xdr:cNvPr>
                  <xdr:cNvCxnSpPr/>
                </xdr:nvCxnSpPr>
                <xdr:spPr>
                  <a:xfrm>
                    <a:off x="190500" y="290512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Conector reto 87">
                    <a:extLst>
                      <a:ext uri="{FF2B5EF4-FFF2-40B4-BE49-F238E27FC236}">
                        <a16:creationId xmlns:a16="http://schemas.microsoft.com/office/drawing/2014/main" id="{00000000-0008-0000-0600-000058000000}"/>
                      </a:ext>
                    </a:extLst>
                  </xdr:cNvPr>
                  <xdr:cNvCxnSpPr/>
                </xdr:nvCxnSpPr>
                <xdr:spPr>
                  <a:xfrm>
                    <a:off x="190500" y="31369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Conector reto 88">
                    <a:extLst>
                      <a:ext uri="{FF2B5EF4-FFF2-40B4-BE49-F238E27FC236}">
                        <a16:creationId xmlns:a16="http://schemas.microsoft.com/office/drawing/2014/main" id="{00000000-0008-0000-0600-000059000000}"/>
                      </a:ext>
                    </a:extLst>
                  </xdr:cNvPr>
                  <xdr:cNvCxnSpPr/>
                </xdr:nvCxnSpPr>
                <xdr:spPr>
                  <a:xfrm>
                    <a:off x="190500" y="33909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Conector reto 89">
                    <a:extLst>
                      <a:ext uri="{FF2B5EF4-FFF2-40B4-BE49-F238E27FC236}">
                        <a16:creationId xmlns:a16="http://schemas.microsoft.com/office/drawing/2014/main" id="{00000000-0008-0000-0600-00005A000000}"/>
                      </a:ext>
                    </a:extLst>
                  </xdr:cNvPr>
                  <xdr:cNvCxnSpPr/>
                </xdr:nvCxnSpPr>
                <xdr:spPr>
                  <a:xfrm>
                    <a:off x="190500" y="362267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SUPORTE!F63">
                <xdr:nvSpPr>
                  <xdr:cNvPr id="158" name="CaixaDeTexto 157">
                    <a:extLst>
                      <a:ext uri="{FF2B5EF4-FFF2-40B4-BE49-F238E27FC236}">
                        <a16:creationId xmlns:a16="http://schemas.microsoft.com/office/drawing/2014/main" id="{00000000-0008-0000-0600-00009E000000}"/>
                      </a:ext>
                    </a:extLst>
                  </xdr:cNvPr>
                  <xdr:cNvSpPr txBox="1"/>
                </xdr:nvSpPr>
                <xdr:spPr>
                  <a:xfrm>
                    <a:off x="4254857" y="1433512"/>
                    <a:ext cx="500326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EB1F92D8-12F1-45EA-99D0-BF8DE1FCF21D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48%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</xdr:grpSp>
          </xdr:grpSp>
        </xdr:grpSp>
        <xdr:grpSp>
          <xdr:nvGrpSpPr>
            <xdr:cNvPr id="167" name="Agrupar 166">
              <a:extLst>
                <a:ext uri="{FF2B5EF4-FFF2-40B4-BE49-F238E27FC236}">
                  <a16:creationId xmlns:a16="http://schemas.microsoft.com/office/drawing/2014/main" id="{00000000-0008-0000-0600-0000A7000000}"/>
                </a:ext>
              </a:extLst>
            </xdr:cNvPr>
            <xdr:cNvGrpSpPr/>
          </xdr:nvGrpSpPr>
          <xdr:grpSpPr>
            <a:xfrm>
              <a:off x="5022143" y="852314"/>
              <a:ext cx="5926314" cy="3033886"/>
              <a:chOff x="5022143" y="852314"/>
              <a:chExt cx="5926314" cy="3033886"/>
            </a:xfrm>
          </xdr:grpSpPr>
          <xdr:graphicFrame macro="">
            <xdr:nvGraphicFramePr>
              <xdr:cNvPr id="98" name="Gráfico 97">
                <a:extLst>
                  <a:ext uri="{FF2B5EF4-FFF2-40B4-BE49-F238E27FC236}">
                    <a16:creationId xmlns:a16="http://schemas.microsoft.com/office/drawing/2014/main" id="{00000000-0008-0000-0600-000062000000}"/>
                  </a:ext>
                </a:extLst>
              </xdr:cNvPr>
              <xdr:cNvGraphicFramePr/>
            </xdr:nvGraphicFramePr>
            <xdr:xfrm>
              <a:off x="5022143" y="1276350"/>
              <a:ext cx="5926314" cy="26098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64" name="CaixaDeTexto 163">
                <a:extLst>
                  <a:ext uri="{FF2B5EF4-FFF2-40B4-BE49-F238E27FC236}">
                    <a16:creationId xmlns:a16="http://schemas.microsoft.com/office/drawing/2014/main" id="{00000000-0008-0000-0600-0000A4000000}"/>
                  </a:ext>
                </a:extLst>
              </xdr:cNvPr>
              <xdr:cNvSpPr txBox="1"/>
            </xdr:nvSpPr>
            <xdr:spPr>
              <a:xfrm>
                <a:off x="6479870" y="852314"/>
                <a:ext cx="2368559" cy="29860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ESCOLHA UMA </a:t>
                </a:r>
                <a:r>
                  <a:rPr lang="pt-BR" sz="1400" b="1">
                    <a:solidFill>
                      <a:srgbClr val="FF2F2F"/>
                    </a:solidFill>
                    <a:latin typeface="Ubuntu" panose="020B0504030602030204" pitchFamily="34" charset="0"/>
                  </a:rPr>
                  <a:t>DESPESA</a:t>
                </a:r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:</a:t>
                </a:r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19459" name="Drop Down 3" hidden="1">
                    <a:extLst>
                      <a:ext uri="{63B3BB69-23CF-44E3-9099-C40C66FF867C}">
                        <a14:compatExt spid="_x0000_s19459"/>
                      </a:ext>
                      <a:ext uri="{FF2B5EF4-FFF2-40B4-BE49-F238E27FC236}">
                        <a16:creationId xmlns:a16="http://schemas.microsoft.com/office/drawing/2014/main" id="{00000000-0008-0000-0800-0000034C0000}"/>
                      </a:ext>
                    </a:extLst>
                  </xdr:cNvPr>
                  <xdr:cNvSpPr/>
                </xdr:nvSpPr>
                <xdr:spPr bwMode="auto">
                  <a:xfrm>
                    <a:off x="8857691" y="852487"/>
                    <a:ext cx="189407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</xdr:grpSp>
      </xdr:grpSp>
    </xdr:grpSp>
    <xdr:clientData/>
  </xdr:twoCellAnchor>
  <xdr:twoCellAnchor editAs="absolute">
    <xdr:from>
      <xdr:col>1</xdr:col>
      <xdr:colOff>196850</xdr:colOff>
      <xdr:row>1</xdr:row>
      <xdr:rowOff>50800</xdr:rowOff>
    </xdr:from>
    <xdr:to>
      <xdr:col>2</xdr:col>
      <xdr:colOff>743569</xdr:colOff>
      <xdr:row>3</xdr:row>
      <xdr:rowOff>31704</xdr:rowOff>
    </xdr:to>
    <xdr:pic>
      <xdr:nvPicPr>
        <xdr:cNvPr id="16" name="Picture 15" descr="Previ Novartis – Seu futuro é o nosso melhor pres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F44041-D05F-4359-A525-29F1676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349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120604</xdr:rowOff>
    </xdr:from>
    <xdr:to>
      <xdr:col>3</xdr:col>
      <xdr:colOff>157800</xdr:colOff>
      <xdr:row>3</xdr:row>
      <xdr:rowOff>182524</xdr:rowOff>
    </xdr:to>
    <xdr:sp macro="" textlink="">
      <xdr:nvSpPr>
        <xdr:cNvPr id="17" name="object 8">
          <a:extLst>
            <a:ext uri="{FF2B5EF4-FFF2-40B4-BE49-F238E27FC236}">
              <a16:creationId xmlns:a16="http://schemas.microsoft.com/office/drawing/2014/main" id="{73CCE56D-615B-44A0-8765-C773129639F9}"/>
            </a:ext>
          </a:extLst>
        </xdr:cNvPr>
        <xdr:cNvSpPr/>
      </xdr:nvSpPr>
      <xdr:spPr>
        <a:xfrm>
          <a:off x="368300" y="67940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4</xdr:col>
      <xdr:colOff>0</xdr:colOff>
      <xdr:row>0</xdr:row>
      <xdr:rowOff>101600</xdr:rowOff>
    </xdr:from>
    <xdr:to>
      <xdr:col>6</xdr:col>
      <xdr:colOff>628650</xdr:colOff>
      <xdr:row>3</xdr:row>
      <xdr:rowOff>95250</xdr:rowOff>
    </xdr:to>
    <xdr:grpSp>
      <xdr:nvGrpSpPr>
        <xdr:cNvPr id="45" name="Group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CF38B1-FF7D-EDCA-647B-C337244FDD03}"/>
            </a:ext>
          </a:extLst>
        </xdr:cNvPr>
        <xdr:cNvGrpSpPr/>
      </xdr:nvGrpSpPr>
      <xdr:grpSpPr>
        <a:xfrm>
          <a:off x="2457450" y="101600"/>
          <a:ext cx="1911350" cy="552450"/>
          <a:chOff x="2457450" y="101600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1921A67B-DDA0-46BF-8559-CFB0B0768571}"/>
              </a:ext>
            </a:extLst>
          </xdr:cNvPr>
          <xdr:cNvSpPr/>
        </xdr:nvSpPr>
        <xdr:spPr>
          <a:xfrm>
            <a:off x="24574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3B1438C4-2A0A-4182-A393-AEC2E03D4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25082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329BBA9-A5A1-45E9-B6A5-2F94AE4908CD}"/>
              </a:ext>
            </a:extLst>
          </xdr:cNvPr>
          <xdr:cNvSpPr txBox="1"/>
        </xdr:nvSpPr>
        <xdr:spPr>
          <a:xfrm>
            <a:off x="27114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76200</xdr:colOff>
      <xdr:row>0</xdr:row>
      <xdr:rowOff>127000</xdr:rowOff>
    </xdr:from>
    <xdr:to>
      <xdr:col>10</xdr:col>
      <xdr:colOff>63500</xdr:colOff>
      <xdr:row>3</xdr:row>
      <xdr:rowOff>76200</xdr:rowOff>
    </xdr:to>
    <xdr:grpSp>
      <xdr:nvGrpSpPr>
        <xdr:cNvPr id="46" name="Group 4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8059DF-E538-15FC-67A5-D5A2B0347B54}"/>
            </a:ext>
          </a:extLst>
        </xdr:cNvPr>
        <xdr:cNvGrpSpPr/>
      </xdr:nvGrpSpPr>
      <xdr:grpSpPr>
        <a:xfrm>
          <a:off x="4457700" y="127000"/>
          <a:ext cx="1911350" cy="508000"/>
          <a:chOff x="4457700" y="127000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A3D81F3-8EB4-4942-A9DF-1F6A0C25ECDF}"/>
              </a:ext>
            </a:extLst>
          </xdr:cNvPr>
          <xdr:cNvSpPr/>
        </xdr:nvSpPr>
        <xdr:spPr>
          <a:xfrm>
            <a:off x="4457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2A46C6A-8B3D-4143-9733-4C027F9E4F96}"/>
              </a:ext>
            </a:extLst>
          </xdr:cNvPr>
          <xdr:cNvSpPr txBox="1"/>
        </xdr:nvSpPr>
        <xdr:spPr>
          <a:xfrm>
            <a:off x="47371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E299794-CDF8-4943-B363-CB451C8BF8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5275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152400</xdr:colOff>
      <xdr:row>0</xdr:row>
      <xdr:rowOff>107950</xdr:rowOff>
    </xdr:from>
    <xdr:to>
      <xdr:col>13</xdr:col>
      <xdr:colOff>139700</xdr:colOff>
      <xdr:row>3</xdr:row>
      <xdr:rowOff>82550</xdr:rowOff>
    </xdr:to>
    <xdr:grpSp>
      <xdr:nvGrpSpPr>
        <xdr:cNvPr id="79" name="Group 7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61024D0-DB0D-6213-3FF0-078A3584AF09}"/>
            </a:ext>
          </a:extLst>
        </xdr:cNvPr>
        <xdr:cNvGrpSpPr/>
      </xdr:nvGrpSpPr>
      <xdr:grpSpPr>
        <a:xfrm>
          <a:off x="6457950" y="107950"/>
          <a:ext cx="1911350" cy="533400"/>
          <a:chOff x="6457950" y="107950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26C779F-F87A-47AF-BDD2-F2CA7BE5377F}"/>
              </a:ext>
            </a:extLst>
          </xdr:cNvPr>
          <xdr:cNvSpPr/>
        </xdr:nvSpPr>
        <xdr:spPr>
          <a:xfrm>
            <a:off x="64579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368616C9-A6D3-4ABD-A590-709EE030FADB}"/>
              </a:ext>
            </a:extLst>
          </xdr:cNvPr>
          <xdr:cNvSpPr txBox="1"/>
        </xdr:nvSpPr>
        <xdr:spPr>
          <a:xfrm>
            <a:off x="6731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15F85069-6F82-440B-98F9-647998B9C4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278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234950</xdr:colOff>
      <xdr:row>0</xdr:row>
      <xdr:rowOff>107950</xdr:rowOff>
    </xdr:from>
    <xdr:to>
      <xdr:col>16</xdr:col>
      <xdr:colOff>222250</xdr:colOff>
      <xdr:row>3</xdr:row>
      <xdr:rowOff>82550</xdr:rowOff>
    </xdr:to>
    <xdr:grpSp>
      <xdr:nvGrpSpPr>
        <xdr:cNvPr id="80" name="Group 7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61F8A37-9B01-47FF-8C68-A37D73CB2E52}"/>
            </a:ext>
          </a:extLst>
        </xdr:cNvPr>
        <xdr:cNvGrpSpPr/>
      </xdr:nvGrpSpPr>
      <xdr:grpSpPr>
        <a:xfrm>
          <a:off x="8464550" y="107950"/>
          <a:ext cx="1911350" cy="533400"/>
          <a:chOff x="8464550" y="107950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6BE5B77C-E389-46A1-A9DB-85B719684358}"/>
              </a:ext>
            </a:extLst>
          </xdr:cNvPr>
          <xdr:cNvSpPr/>
        </xdr:nvSpPr>
        <xdr:spPr>
          <a:xfrm>
            <a:off x="84645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55FEAE7-6ADB-4687-9E45-8B9D87314E04}"/>
              </a:ext>
            </a:extLst>
          </xdr:cNvPr>
          <xdr:cNvSpPr txBox="1"/>
        </xdr:nvSpPr>
        <xdr:spPr>
          <a:xfrm>
            <a:off x="8737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9" name="Graphic 18" descr="Gauge with solid fill">
            <a:extLst>
              <a:ext uri="{FF2B5EF4-FFF2-40B4-BE49-F238E27FC236}">
                <a16:creationId xmlns:a16="http://schemas.microsoft.com/office/drawing/2014/main" id="{52293741-D668-4685-A8FD-05F0B8AED5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5788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311150</xdr:colOff>
      <xdr:row>0</xdr:row>
      <xdr:rowOff>107950</xdr:rowOff>
    </xdr:from>
    <xdr:to>
      <xdr:col>19</xdr:col>
      <xdr:colOff>298450</xdr:colOff>
      <xdr:row>3</xdr:row>
      <xdr:rowOff>82550</xdr:rowOff>
    </xdr:to>
    <xdr:grpSp>
      <xdr:nvGrpSpPr>
        <xdr:cNvPr id="81" name="Group 8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A31048E-66C0-BEC7-453E-C10FEEB7C9B2}"/>
            </a:ext>
          </a:extLst>
        </xdr:cNvPr>
        <xdr:cNvGrpSpPr/>
      </xdr:nvGrpSpPr>
      <xdr:grpSpPr>
        <a:xfrm>
          <a:off x="10464800" y="107950"/>
          <a:ext cx="1911350" cy="533400"/>
          <a:chOff x="10464800" y="107950"/>
          <a:chExt cx="1911350" cy="53340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B5387057-F5C9-45FE-9641-B4FF43E415AE}"/>
              </a:ext>
            </a:extLst>
          </xdr:cNvPr>
          <xdr:cNvSpPr/>
        </xdr:nvSpPr>
        <xdr:spPr>
          <a:xfrm>
            <a:off x="104648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C88926E8-6F2E-4B4E-9DB5-7F51CF76869B}"/>
              </a:ext>
            </a:extLst>
          </xdr:cNvPr>
          <xdr:cNvSpPr txBox="1"/>
        </xdr:nvSpPr>
        <xdr:spPr>
          <a:xfrm>
            <a:off x="107378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0" name="Graphic 29" descr="Daily calendar with solid fill">
            <a:extLst>
              <a:ext uri="{FF2B5EF4-FFF2-40B4-BE49-F238E27FC236}">
                <a16:creationId xmlns:a16="http://schemas.microsoft.com/office/drawing/2014/main" id="{26942D73-D065-4C0E-9618-C96993B59F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105410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387350</xdr:colOff>
      <xdr:row>0</xdr:row>
      <xdr:rowOff>107950</xdr:rowOff>
    </xdr:from>
    <xdr:to>
      <xdr:col>22</xdr:col>
      <xdr:colOff>374650</xdr:colOff>
      <xdr:row>3</xdr:row>
      <xdr:rowOff>82550</xdr:rowOff>
    </xdr:to>
    <xdr:grpSp>
      <xdr:nvGrpSpPr>
        <xdr:cNvPr id="91" name="Group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C560C62-E88D-F23A-37A6-32299096FFB5}"/>
            </a:ext>
          </a:extLst>
        </xdr:cNvPr>
        <xdr:cNvGrpSpPr/>
      </xdr:nvGrpSpPr>
      <xdr:grpSpPr>
        <a:xfrm>
          <a:off x="12465050" y="107950"/>
          <a:ext cx="1911350" cy="533400"/>
          <a:chOff x="12465050" y="107950"/>
          <a:chExt cx="1911350" cy="533400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2CD55C2C-7327-4D31-B2B1-83E68B403A21}"/>
              </a:ext>
            </a:extLst>
          </xdr:cNvPr>
          <xdr:cNvSpPr/>
        </xdr:nvSpPr>
        <xdr:spPr>
          <a:xfrm>
            <a:off x="124650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B47E698C-95D1-4D62-8C7E-0C2135C21317}"/>
              </a:ext>
            </a:extLst>
          </xdr:cNvPr>
          <xdr:cNvSpPr txBox="1"/>
        </xdr:nvSpPr>
        <xdr:spPr>
          <a:xfrm>
            <a:off x="127381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5DF452A5-2FEE-4A9F-8A0F-FA79CB9DDBDB}"/>
              </a:ext>
            </a:extLst>
          </xdr:cNvPr>
          <xdr:cNvGrpSpPr/>
        </xdr:nvGrpSpPr>
        <xdr:grpSpPr>
          <a:xfrm>
            <a:off x="125539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36" name="Graphic 35" descr="Magnifying glass with solid fill">
              <a:extLst>
                <a:ext uri="{FF2B5EF4-FFF2-40B4-BE49-F238E27FC236}">
                  <a16:creationId xmlns:a16="http://schemas.microsoft.com/office/drawing/2014/main" id="{16F613F2-8787-97D8-5AEA-1103832255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37" name="Graphic 36" descr="Add outline">
              <a:extLst>
                <a:ext uri="{FF2B5EF4-FFF2-40B4-BE49-F238E27FC236}">
                  <a16:creationId xmlns:a16="http://schemas.microsoft.com/office/drawing/2014/main" id="{DA32B115-9410-2C0C-272A-46ACFD045A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>
              <a:extLs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469900</xdr:colOff>
      <xdr:row>0</xdr:row>
      <xdr:rowOff>107950</xdr:rowOff>
    </xdr:from>
    <xdr:to>
      <xdr:col>25</xdr:col>
      <xdr:colOff>457200</xdr:colOff>
      <xdr:row>3</xdr:row>
      <xdr:rowOff>82550</xdr:rowOff>
    </xdr:to>
    <xdr:grpSp>
      <xdr:nvGrpSpPr>
        <xdr:cNvPr id="92" name="Group 9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6F46C85-EE15-F9E6-465E-8639326EF1A5}"/>
            </a:ext>
          </a:extLst>
        </xdr:cNvPr>
        <xdr:cNvGrpSpPr/>
      </xdr:nvGrpSpPr>
      <xdr:grpSpPr>
        <a:xfrm>
          <a:off x="14471650" y="107950"/>
          <a:ext cx="1911350" cy="533400"/>
          <a:chOff x="14471650" y="107950"/>
          <a:chExt cx="1911350" cy="533400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48252B-4634-4550-92BA-569595412EA6}"/>
              </a:ext>
            </a:extLst>
          </xdr:cNvPr>
          <xdr:cNvSpPr/>
        </xdr:nvSpPr>
        <xdr:spPr>
          <a:xfrm>
            <a:off x="144716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E5B210B-F997-4FF2-A0B1-D0EC41E17738}"/>
              </a:ext>
            </a:extLst>
          </xdr:cNvPr>
          <xdr:cNvSpPr txBox="1"/>
        </xdr:nvSpPr>
        <xdr:spPr>
          <a:xfrm>
            <a:off x="147447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5F6F96E5-8195-4862-83AE-1B28D6BBFA22}"/>
              </a:ext>
            </a:extLst>
          </xdr:cNvPr>
          <xdr:cNvGrpSpPr/>
        </xdr:nvGrpSpPr>
        <xdr:grpSpPr>
          <a:xfrm>
            <a:off x="14573250" y="222250"/>
            <a:ext cx="317500" cy="317500"/>
            <a:chOff x="15900400" y="2705100"/>
            <a:chExt cx="444500" cy="444500"/>
          </a:xfrm>
          <a:solidFill>
            <a:schemeClr val="bg1">
              <a:lumMod val="95000"/>
            </a:schemeClr>
          </a:solidFill>
        </xdr:grpSpPr>
        <xdr:pic>
          <xdr:nvPicPr>
            <xdr:cNvPr id="43" name="Graphic 42" descr="Magnifying glass with solid fill">
              <a:extLst>
                <a:ext uri="{FF2B5EF4-FFF2-40B4-BE49-F238E27FC236}">
                  <a16:creationId xmlns:a16="http://schemas.microsoft.com/office/drawing/2014/main" id="{CB790DD4-C5FA-F3C0-468D-96536507B5B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44" name="Graphic 43" descr="Badge Unfollow outline">
              <a:extLst>
                <a:ext uri="{FF2B5EF4-FFF2-40B4-BE49-F238E27FC236}">
                  <a16:creationId xmlns:a16="http://schemas.microsoft.com/office/drawing/2014/main" id="{2D9A274E-9B91-3944-1187-C63096F49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8">
              <a:extLst>
                <a:ext uri="{96DAC541-7B7A-43D3-8B79-37D633B846F1}">
                  <asvg:svgBlip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0"/>
  </sheetPr>
  <dimension ref="A1:T25"/>
  <sheetViews>
    <sheetView showGridLines="0" showRowColHeaders="0" tabSelected="1" topLeftCell="B1" zoomScale="90" zoomScaleNormal="90" workbookViewId="0"/>
  </sheetViews>
  <sheetFormatPr defaultColWidth="9.1796875" defaultRowHeight="14.5" x14ac:dyDescent="0.35"/>
  <cols>
    <col min="1" max="1" width="0" style="62" hidden="1" customWidth="1"/>
    <col min="2" max="4" width="8.7265625" style="62"/>
    <col min="5" max="5" width="12.7265625" style="62" customWidth="1"/>
    <col min="6" max="6" width="8.7265625" style="62"/>
    <col min="7" max="7" width="8.7265625" style="62" customWidth="1"/>
    <col min="8" max="8" width="6.81640625" style="62" customWidth="1"/>
    <col min="9" max="9" width="13.90625" style="62" customWidth="1"/>
    <col min="10" max="10" width="12.54296875" style="62" customWidth="1"/>
    <col min="11" max="11" width="8.7265625" style="62" customWidth="1"/>
    <col min="12" max="13" width="8.7265625" style="62"/>
    <col min="14" max="14" width="4.54296875" style="62" customWidth="1"/>
    <col min="15" max="15" width="11.08984375" style="62" customWidth="1"/>
    <col min="16" max="16" width="20.6328125" style="62" customWidth="1"/>
    <col min="17" max="17" width="4.90625" style="62" customWidth="1"/>
    <col min="18" max="18" width="12.1796875" style="62" customWidth="1"/>
    <col min="19" max="19" width="9.1796875" style="62" customWidth="1"/>
    <col min="20" max="20" width="7.7265625" style="62" customWidth="1"/>
    <col min="21" max="16384" width="9.1796875" style="62"/>
  </cols>
  <sheetData>
    <row r="1" spans="1:20" ht="18.5" customHeight="1" x14ac:dyDescent="0.35"/>
    <row r="2" spans="1:20" x14ac:dyDescent="0.35"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ht="9" customHeight="1" x14ac:dyDescent="0.35"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x14ac:dyDescent="0.35"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0" s="64" customFormat="1" ht="16.5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5"/>
      <c r="K5" s="65"/>
      <c r="L5" s="65"/>
      <c r="M5" s="65"/>
      <c r="N5" s="65"/>
      <c r="O5" s="65"/>
      <c r="P5" s="69">
        <v>300</v>
      </c>
      <c r="Q5" s="65"/>
      <c r="R5" s="65"/>
      <c r="S5" s="65"/>
      <c r="T5" s="62"/>
    </row>
    <row r="6" spans="1:20" ht="16.5" customHeight="1" x14ac:dyDescent="0.35"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0" x14ac:dyDescent="0.35"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0" x14ac:dyDescent="0.35"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0" x14ac:dyDescent="0.35"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0" x14ac:dyDescent="0.35"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0" x14ac:dyDescent="0.35"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20" x14ac:dyDescent="0.35"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0" x14ac:dyDescent="0.35"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0" x14ac:dyDescent="0.35"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0" x14ac:dyDescent="0.35"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20" x14ac:dyDescent="0.35"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0:19" ht="15.5" customHeight="1" x14ac:dyDescent="0.35"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0:19" x14ac:dyDescent="0.35"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0:19" x14ac:dyDescent="0.35"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0:19" x14ac:dyDescent="0.35"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0:19" x14ac:dyDescent="0.35"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0:19" x14ac:dyDescent="0.35"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0:19" x14ac:dyDescent="0.35"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0:19" x14ac:dyDescent="0.35"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0:19" ht="24" customHeight="1" x14ac:dyDescent="0.35">
      <c r="J25" s="65"/>
      <c r="K25" s="65"/>
      <c r="L25" s="65"/>
      <c r="M25" s="65"/>
      <c r="N25" s="65"/>
      <c r="O25" s="65"/>
      <c r="P25" s="65"/>
      <c r="Q25" s="65"/>
      <c r="R25" s="65"/>
      <c r="S25" s="65"/>
    </row>
  </sheetData>
  <sheetProtection algorithmName="SHA-512" hashValue="BZ7zXkpqyI5cUOhnvAYDKDzonooUn9CZpym2gi9Edqdj1CUIZ0EpO5Y5J6mZ3W/C9dsThNZAG/F0Z5q4PutwwA==" saltValue="jJWgmznMpEvHN88nCHx5iQ==" spinCount="100000" sheet="1" objects="1" scenarios="1"/>
  <protectedRanges>
    <protectedRange sqref="P5" name="Range1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5B14-DF1D-4DFC-A043-5CE47F8579FE}">
  <sheetPr codeName="Planilha5">
    <tabColor theme="0"/>
  </sheetPr>
  <dimension ref="C2:E50"/>
  <sheetViews>
    <sheetView showGridLines="0" showRowColHeaders="0" topLeftCell="B1" zoomScaleNormal="100" workbookViewId="0">
      <pane ySplit="4" topLeftCell="A5" activePane="bottomLeft" state="frozen"/>
      <selection activeCell="I23" sqref="I23"/>
      <selection pane="bottomLeft" activeCell="C17" sqref="C17"/>
    </sheetView>
  </sheetViews>
  <sheetFormatPr defaultColWidth="9.1796875" defaultRowHeight="14.5" x14ac:dyDescent="0.35"/>
  <cols>
    <col min="1" max="1" width="0" style="62" hidden="1" customWidth="1"/>
    <col min="2" max="2" width="8.36328125" style="62" customWidth="1"/>
    <col min="3" max="3" width="162.26953125" style="62" customWidth="1"/>
    <col min="4" max="16384" width="9.1796875" style="62"/>
  </cols>
  <sheetData>
    <row r="2" spans="3:5" ht="15" customHeight="1" x14ac:dyDescent="0.35"/>
    <row r="4" spans="3:5" x14ac:dyDescent="0.35">
      <c r="E4" s="63"/>
    </row>
    <row r="5" spans="3:5" ht="17.5" customHeight="1" x14ac:dyDescent="0.35"/>
    <row r="6" spans="3:5" s="67" customFormat="1" ht="16.5" customHeight="1" x14ac:dyDescent="0.35">
      <c r="C6" s="125" t="s">
        <v>148</v>
      </c>
      <c r="D6" s="66"/>
    </row>
    <row r="7" spans="3:5" ht="6.75" customHeight="1" x14ac:dyDescent="0.35">
      <c r="C7" s="125"/>
      <c r="D7" s="63"/>
    </row>
    <row r="8" spans="3:5" ht="16.5" customHeight="1" x14ac:dyDescent="0.35">
      <c r="C8" s="125"/>
    </row>
    <row r="9" spans="3:5" ht="8.5" customHeight="1" x14ac:dyDescent="0.35">
      <c r="C9" s="68"/>
    </row>
    <row r="10" spans="3:5" ht="15.5" x14ac:dyDescent="0.35">
      <c r="C10" s="68"/>
    </row>
    <row r="11" spans="3:5" ht="15.5" x14ac:dyDescent="0.35">
      <c r="C11" s="68"/>
    </row>
    <row r="12" spans="3:5" ht="15.5" x14ac:dyDescent="0.35">
      <c r="C12" s="68"/>
    </row>
    <row r="13" spans="3:5" x14ac:dyDescent="0.35">
      <c r="C13" s="125" t="s">
        <v>117</v>
      </c>
    </row>
    <row r="14" spans="3:5" x14ac:dyDescent="0.35">
      <c r="C14" s="125"/>
    </row>
    <row r="15" spans="3:5" x14ac:dyDescent="0.35">
      <c r="C15" s="125"/>
    </row>
    <row r="28" spans="3:3" x14ac:dyDescent="0.35">
      <c r="C28" s="125" t="s">
        <v>146</v>
      </c>
    </row>
    <row r="29" spans="3:3" x14ac:dyDescent="0.35">
      <c r="C29" s="125"/>
    </row>
    <row r="30" spans="3:3" x14ac:dyDescent="0.35">
      <c r="C30" s="125"/>
    </row>
    <row r="48" spans="3:3" x14ac:dyDescent="0.35">
      <c r="C48" s="125" t="s">
        <v>147</v>
      </c>
    </row>
    <row r="49" spans="3:3" x14ac:dyDescent="0.35">
      <c r="C49" s="125"/>
    </row>
    <row r="50" spans="3:3" x14ac:dyDescent="0.35">
      <c r="C50" s="125"/>
    </row>
  </sheetData>
  <sheetProtection algorithmName="SHA-512" hashValue="FWTsb6WJ0/kxwtdyzcOHkOSnVhwnTGhUUbhwLUY+6MhZyHvnMEDeirOE29WUB0yba+vDgEIreErAOdwRCinPnQ==" saltValue="DvXZ6IUwudGXGkCk9//Cyw==" spinCount="100000" sheet="1" objects="1" scenarios="1"/>
  <mergeCells count="4">
    <mergeCell ref="C6:C8"/>
    <mergeCell ref="C13:C15"/>
    <mergeCell ref="C28:C30"/>
    <mergeCell ref="C48:C50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0">
    <tabColor rgb="FF91DFB4"/>
  </sheetPr>
  <dimension ref="A1:V32"/>
  <sheetViews>
    <sheetView showGridLines="0" showRowColHeaders="0" zoomScaleNormal="100" workbookViewId="0">
      <pane ySplit="4" topLeftCell="A5" activePane="bottomLeft" state="frozen"/>
      <selection activeCell="I23" sqref="I23"/>
      <selection pane="bottomLeft" activeCell="E10" sqref="E10"/>
    </sheetView>
  </sheetViews>
  <sheetFormatPr defaultColWidth="9.1796875" defaultRowHeight="14.5" x14ac:dyDescent="0.35"/>
  <cols>
    <col min="1" max="1" width="4.6328125" style="71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71" customWidth="1"/>
    <col min="17" max="18" width="9.1796875" style="71"/>
    <col min="19" max="19" width="9.1796875" style="72"/>
    <col min="20" max="20" width="11.7265625" style="73" bestFit="1" customWidth="1"/>
    <col min="21" max="21" width="9.1796875" style="74"/>
    <col min="22" max="22" width="9.1796875" style="75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81" t="s">
        <v>13</v>
      </c>
      <c r="C6" s="78" t="s">
        <v>28</v>
      </c>
      <c r="D6" s="70" t="s">
        <v>1</v>
      </c>
      <c r="E6" s="70" t="s">
        <v>2</v>
      </c>
      <c r="F6" s="70" t="s">
        <v>3</v>
      </c>
      <c r="G6" s="70" t="s">
        <v>4</v>
      </c>
      <c r="H6" s="70" t="s">
        <v>5</v>
      </c>
      <c r="I6" s="70" t="s">
        <v>6</v>
      </c>
      <c r="J6" s="70" t="s">
        <v>7</v>
      </c>
      <c r="K6" s="70" t="s">
        <v>8</v>
      </c>
      <c r="L6" s="70" t="s">
        <v>9</v>
      </c>
      <c r="M6" s="70" t="s">
        <v>10</v>
      </c>
      <c r="N6" s="70" t="s">
        <v>11</v>
      </c>
      <c r="O6" s="70" t="s">
        <v>12</v>
      </c>
      <c r="P6" s="77" t="s">
        <v>55</v>
      </c>
      <c r="T6" s="136" t="s">
        <v>102</v>
      </c>
      <c r="U6" s="136" t="s">
        <v>107</v>
      </c>
      <c r="V6" s="136" t="s">
        <v>108</v>
      </c>
    </row>
    <row r="7" spans="2:22" ht="16" customHeight="1" x14ac:dyDescent="0.35">
      <c r="B7" s="93" t="s">
        <v>14</v>
      </c>
      <c r="C7" s="94" t="s">
        <v>14</v>
      </c>
      <c r="D7" s="96">
        <v>3000</v>
      </c>
      <c r="E7" s="97">
        <v>3000</v>
      </c>
      <c r="F7" s="97">
        <v>3000</v>
      </c>
      <c r="G7" s="97">
        <v>3000</v>
      </c>
      <c r="H7" s="97">
        <v>3000</v>
      </c>
      <c r="I7" s="97">
        <v>3500</v>
      </c>
      <c r="J7" s="97">
        <v>3000</v>
      </c>
      <c r="K7" s="97">
        <v>3000</v>
      </c>
      <c r="L7" s="97">
        <v>3200</v>
      </c>
      <c r="M7" s="97">
        <v>3200</v>
      </c>
      <c r="N7" s="97">
        <v>3200</v>
      </c>
      <c r="O7" s="98">
        <v>3200</v>
      </c>
      <c r="P7" s="99">
        <f>SUM(D7:O7)</f>
        <v>37300</v>
      </c>
      <c r="T7" s="136">
        <f t="shared" ref="T7:T24" si="0">COUNTIF($P$7:$P$24,P7)</f>
        <v>1</v>
      </c>
      <c r="U7" s="136">
        <f>IF(T7&gt;1,COUNTIF($P$7:P7,P7),0)</f>
        <v>0</v>
      </c>
      <c r="V7" s="136">
        <f t="shared" ref="V7:V24" si="1">IF(T7=1,RANK(P7,$P$7:$P$24),RANK(P7,$P$7:$P$24)+U7/100)</f>
        <v>1</v>
      </c>
    </row>
    <row r="8" spans="2:22" ht="16" customHeight="1" x14ac:dyDescent="0.35">
      <c r="B8" s="95" t="s">
        <v>15</v>
      </c>
      <c r="C8" s="94" t="s">
        <v>14</v>
      </c>
      <c r="D8" s="96"/>
      <c r="E8" s="97"/>
      <c r="F8" s="97"/>
      <c r="G8" s="97"/>
      <c r="H8" s="97"/>
      <c r="I8" s="97"/>
      <c r="J8" s="97"/>
      <c r="K8" s="97"/>
      <c r="L8" s="97"/>
      <c r="M8" s="97"/>
      <c r="N8" s="97">
        <v>1600</v>
      </c>
      <c r="O8" s="98">
        <v>1600</v>
      </c>
      <c r="P8" s="99">
        <f t="shared" ref="P8:P24" si="2">SUM(D8:O8)</f>
        <v>3200</v>
      </c>
      <c r="T8" s="136">
        <f t="shared" si="0"/>
        <v>1</v>
      </c>
      <c r="U8" s="136">
        <f>IF(T8&gt;1,COUNTIF($P$7:P8,P8),0)</f>
        <v>0</v>
      </c>
      <c r="V8" s="136">
        <f t="shared" si="1"/>
        <v>3</v>
      </c>
    </row>
    <row r="9" spans="2:22" ht="16" customHeight="1" x14ac:dyDescent="0.35">
      <c r="B9" s="95" t="s">
        <v>118</v>
      </c>
      <c r="C9" s="94" t="s">
        <v>14</v>
      </c>
      <c r="D9" s="96">
        <v>450</v>
      </c>
      <c r="E9" s="97">
        <v>450</v>
      </c>
      <c r="F9" s="97">
        <v>450</v>
      </c>
      <c r="G9" s="97">
        <v>450</v>
      </c>
      <c r="H9" s="97">
        <v>450</v>
      </c>
      <c r="I9" s="97">
        <v>450</v>
      </c>
      <c r="J9" s="97">
        <v>450</v>
      </c>
      <c r="K9" s="97">
        <v>450</v>
      </c>
      <c r="L9" s="97">
        <v>450</v>
      </c>
      <c r="M9" s="97">
        <v>480</v>
      </c>
      <c r="N9" s="97">
        <v>480</v>
      </c>
      <c r="O9" s="98">
        <v>480</v>
      </c>
      <c r="P9" s="99">
        <f t="shared" si="2"/>
        <v>5490</v>
      </c>
      <c r="T9" s="136">
        <f t="shared" si="0"/>
        <v>1</v>
      </c>
      <c r="U9" s="136">
        <f>IF(T9&gt;1,COUNTIF($P$7:P9,P9),0)</f>
        <v>0</v>
      </c>
      <c r="V9" s="136">
        <f t="shared" si="1"/>
        <v>2</v>
      </c>
    </row>
    <row r="10" spans="2:22" ht="16" customHeight="1" x14ac:dyDescent="0.35">
      <c r="B10" s="95" t="s">
        <v>119</v>
      </c>
      <c r="C10" s="94" t="s">
        <v>14</v>
      </c>
      <c r="D10" s="96"/>
      <c r="E10" s="97">
        <v>230</v>
      </c>
      <c r="F10" s="97"/>
      <c r="G10" s="97"/>
      <c r="H10" s="97">
        <v>150</v>
      </c>
      <c r="I10" s="97"/>
      <c r="J10" s="97"/>
      <c r="K10" s="97"/>
      <c r="L10" s="97"/>
      <c r="M10" s="97">
        <v>90</v>
      </c>
      <c r="N10" s="97"/>
      <c r="O10" s="98"/>
      <c r="P10" s="99">
        <f t="shared" si="2"/>
        <v>470</v>
      </c>
      <c r="T10" s="136">
        <f t="shared" si="0"/>
        <v>1</v>
      </c>
      <c r="U10" s="136">
        <f>IF(T10&gt;1,COUNTIF($P$7:P10,P10),0)</f>
        <v>0</v>
      </c>
      <c r="V10" s="136">
        <f t="shared" si="1"/>
        <v>4</v>
      </c>
    </row>
    <row r="11" spans="2:22" ht="16" customHeight="1" x14ac:dyDescent="0.35">
      <c r="B11" s="95" t="s">
        <v>16</v>
      </c>
      <c r="C11" s="94" t="s">
        <v>80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  <c r="P11" s="99">
        <f t="shared" si="2"/>
        <v>0</v>
      </c>
      <c r="T11" s="136">
        <f t="shared" si="0"/>
        <v>14</v>
      </c>
      <c r="U11" s="136">
        <f>IF(T11&gt;1,COUNTIF($P$7:P11,P11),0)</f>
        <v>1</v>
      </c>
      <c r="V11" s="136">
        <f t="shared" si="1"/>
        <v>5.01</v>
      </c>
    </row>
    <row r="12" spans="2:22" ht="16" customHeight="1" x14ac:dyDescent="0.35">
      <c r="B12" s="95" t="s">
        <v>120</v>
      </c>
      <c r="C12" s="94" t="s">
        <v>54</v>
      </c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9">
        <f t="shared" si="2"/>
        <v>0</v>
      </c>
      <c r="T12" s="136">
        <f t="shared" si="0"/>
        <v>14</v>
      </c>
      <c r="U12" s="136">
        <f>IF(T12&gt;1,COUNTIF($P$7:P12,P12),0)</f>
        <v>2</v>
      </c>
      <c r="V12" s="136">
        <f t="shared" si="1"/>
        <v>5.0199999999999996</v>
      </c>
    </row>
    <row r="13" spans="2:22" ht="16" customHeight="1" x14ac:dyDescent="0.35">
      <c r="B13" s="95" t="s">
        <v>79</v>
      </c>
      <c r="C13" s="94" t="s">
        <v>79</v>
      </c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99">
        <f t="shared" si="2"/>
        <v>0</v>
      </c>
      <c r="T13" s="136">
        <f t="shared" si="0"/>
        <v>14</v>
      </c>
      <c r="U13" s="136">
        <f>IF(T13&gt;1,COUNTIF($P$7:P13,P13),0)</f>
        <v>3</v>
      </c>
      <c r="V13" s="136">
        <f t="shared" si="1"/>
        <v>5.03</v>
      </c>
    </row>
    <row r="14" spans="2:22" ht="16" customHeight="1" x14ac:dyDescent="0.35">
      <c r="B14" s="95" t="s">
        <v>121</v>
      </c>
      <c r="C14" s="94" t="s">
        <v>78</v>
      </c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P14" s="99">
        <f t="shared" si="2"/>
        <v>0</v>
      </c>
      <c r="T14" s="136">
        <f t="shared" si="0"/>
        <v>14</v>
      </c>
      <c r="U14" s="136">
        <f>IF(T14&gt;1,COUNTIF($P$7:P14,P14),0)</f>
        <v>4</v>
      </c>
      <c r="V14" s="136">
        <f t="shared" si="1"/>
        <v>5.04</v>
      </c>
    </row>
    <row r="15" spans="2:22" ht="16" customHeight="1" x14ac:dyDescent="0.35">
      <c r="B15" s="95" t="s">
        <v>122</v>
      </c>
      <c r="C15" s="94" t="s">
        <v>78</v>
      </c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9">
        <f t="shared" si="2"/>
        <v>0</v>
      </c>
      <c r="T15" s="136">
        <f t="shared" si="0"/>
        <v>14</v>
      </c>
      <c r="U15" s="136">
        <f>IF(T15&gt;1,COUNTIF($P$7:P15,P15),0)</f>
        <v>5</v>
      </c>
      <c r="V15" s="136">
        <f t="shared" si="1"/>
        <v>5.05</v>
      </c>
    </row>
    <row r="16" spans="2:22" ht="16" customHeight="1" x14ac:dyDescent="0.35">
      <c r="B16" s="95" t="s">
        <v>123</v>
      </c>
      <c r="C16" s="94" t="s">
        <v>14</v>
      </c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99">
        <f t="shared" si="2"/>
        <v>0</v>
      </c>
      <c r="T16" s="136">
        <f t="shared" si="0"/>
        <v>14</v>
      </c>
      <c r="U16" s="136">
        <f>IF(T16&gt;1,COUNTIF($P$7:P16,P16),0)</f>
        <v>6</v>
      </c>
      <c r="V16" s="136">
        <f t="shared" si="1"/>
        <v>5.0599999999999996</v>
      </c>
    </row>
    <row r="17" spans="2:22" ht="16" customHeight="1" x14ac:dyDescent="0.35">
      <c r="B17" s="95" t="s">
        <v>124</v>
      </c>
      <c r="C17" s="94" t="s">
        <v>14</v>
      </c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9">
        <f t="shared" si="2"/>
        <v>0</v>
      </c>
      <c r="T17" s="136">
        <f t="shared" si="0"/>
        <v>14</v>
      </c>
      <c r="U17" s="136">
        <f>IF(T17&gt;1,COUNTIF($P$7:P17,P17),0)</f>
        <v>7</v>
      </c>
      <c r="V17" s="136">
        <f t="shared" si="1"/>
        <v>5.07</v>
      </c>
    </row>
    <row r="18" spans="2:22" ht="16" customHeight="1" x14ac:dyDescent="0.35">
      <c r="B18" s="95"/>
      <c r="C18" s="9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99">
        <f t="shared" si="2"/>
        <v>0</v>
      </c>
      <c r="T18" s="136">
        <f t="shared" si="0"/>
        <v>14</v>
      </c>
      <c r="U18" s="136">
        <f>IF(T18&gt;1,COUNTIF($P$7:P18,P18),0)</f>
        <v>8</v>
      </c>
      <c r="V18" s="136">
        <f t="shared" si="1"/>
        <v>5.08</v>
      </c>
    </row>
    <row r="19" spans="2:22" ht="16" customHeight="1" x14ac:dyDescent="0.35">
      <c r="B19" s="95"/>
      <c r="C19" s="9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9">
        <f t="shared" si="2"/>
        <v>0</v>
      </c>
      <c r="S19" s="72" t="s">
        <v>98</v>
      </c>
      <c r="T19" s="136">
        <f t="shared" si="0"/>
        <v>14</v>
      </c>
      <c r="U19" s="136">
        <f>IF(T19&gt;1,COUNTIF($P$7:P19,P19),0)</f>
        <v>9</v>
      </c>
      <c r="V19" s="136">
        <f t="shared" si="1"/>
        <v>5.09</v>
      </c>
    </row>
    <row r="20" spans="2:22" ht="16" customHeight="1" x14ac:dyDescent="0.35">
      <c r="B20" s="95"/>
      <c r="C20" s="94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9">
        <f t="shared" si="2"/>
        <v>0</v>
      </c>
      <c r="T20" s="136">
        <f t="shared" si="0"/>
        <v>14</v>
      </c>
      <c r="U20" s="136">
        <f>IF(T20&gt;1,COUNTIF($P$7:P20,P20),0)</f>
        <v>10</v>
      </c>
      <c r="V20" s="136">
        <f t="shared" si="1"/>
        <v>5.0999999999999996</v>
      </c>
    </row>
    <row r="21" spans="2:22" ht="16" customHeight="1" x14ac:dyDescent="0.35">
      <c r="B21" s="95"/>
      <c r="C21" s="94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9">
        <f t="shared" si="2"/>
        <v>0</v>
      </c>
      <c r="T21" s="136">
        <f t="shared" si="0"/>
        <v>14</v>
      </c>
      <c r="U21" s="136">
        <f>IF(T21&gt;1,COUNTIF($P$7:P21,P21),0)</f>
        <v>11</v>
      </c>
      <c r="V21" s="136">
        <f t="shared" si="1"/>
        <v>5.1100000000000003</v>
      </c>
    </row>
    <row r="22" spans="2:22" ht="16" customHeight="1" x14ac:dyDescent="0.35">
      <c r="B22" s="95"/>
      <c r="C22" s="94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  <c r="P22" s="99">
        <f t="shared" si="2"/>
        <v>0</v>
      </c>
      <c r="T22" s="136">
        <f t="shared" si="0"/>
        <v>14</v>
      </c>
      <c r="U22" s="136">
        <f>IF(T22&gt;1,COUNTIF($P$7:P22,P22),0)</f>
        <v>12</v>
      </c>
      <c r="V22" s="136">
        <f t="shared" si="1"/>
        <v>5.12</v>
      </c>
    </row>
    <row r="23" spans="2:22" ht="16" customHeight="1" x14ac:dyDescent="0.35">
      <c r="B23" s="95"/>
      <c r="C23" s="94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99">
        <f t="shared" si="2"/>
        <v>0</v>
      </c>
      <c r="T23" s="136">
        <f t="shared" si="0"/>
        <v>14</v>
      </c>
      <c r="U23" s="136">
        <f>IF(T23&gt;1,COUNTIF($P$7:P23,P23),0)</f>
        <v>13</v>
      </c>
      <c r="V23" s="136">
        <f t="shared" si="1"/>
        <v>5.13</v>
      </c>
    </row>
    <row r="24" spans="2:22" x14ac:dyDescent="0.35">
      <c r="B24" s="100"/>
      <c r="C24" s="94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P24" s="99">
        <f t="shared" si="2"/>
        <v>0</v>
      </c>
      <c r="T24" s="136">
        <f t="shared" si="0"/>
        <v>14</v>
      </c>
      <c r="U24" s="136">
        <f>IF(T24&gt;1,COUNTIF($P$7:P24,P24),0)</f>
        <v>14</v>
      </c>
      <c r="V24" s="136">
        <f t="shared" si="1"/>
        <v>5.14</v>
      </c>
    </row>
    <row r="25" spans="2:22" ht="21" customHeight="1" x14ac:dyDescent="0.35">
      <c r="C25" s="79" t="s">
        <v>55</v>
      </c>
      <c r="D25" s="115">
        <f t="shared" ref="D25:O25" si="3">IF(SUM(D7:D24)=0,NA(),SUM(D7:D24))</f>
        <v>3450</v>
      </c>
      <c r="E25" s="115">
        <f t="shared" si="3"/>
        <v>3680</v>
      </c>
      <c r="F25" s="115">
        <f t="shared" si="3"/>
        <v>3450</v>
      </c>
      <c r="G25" s="115">
        <f t="shared" si="3"/>
        <v>3450</v>
      </c>
      <c r="H25" s="115">
        <f t="shared" si="3"/>
        <v>3600</v>
      </c>
      <c r="I25" s="115">
        <f t="shared" si="3"/>
        <v>3950</v>
      </c>
      <c r="J25" s="115">
        <f t="shared" si="3"/>
        <v>3450</v>
      </c>
      <c r="K25" s="115">
        <f t="shared" si="3"/>
        <v>3450</v>
      </c>
      <c r="L25" s="115">
        <f t="shared" si="3"/>
        <v>3650</v>
      </c>
      <c r="M25" s="115">
        <f t="shared" si="3"/>
        <v>3770</v>
      </c>
      <c r="N25" s="115">
        <f t="shared" si="3"/>
        <v>5280</v>
      </c>
      <c r="O25" s="115">
        <f t="shared" si="3"/>
        <v>5280</v>
      </c>
      <c r="P25" s="80">
        <f>SUM(P7:P24)</f>
        <v>46460</v>
      </c>
    </row>
    <row r="32" spans="2:22" x14ac:dyDescent="0.35">
      <c r="H32" s="76"/>
    </row>
  </sheetData>
  <sheetProtection algorithmName="SHA-512" hashValue="p57S3bvNN9YDkKWHEHgo5je+Bg9SaN3Lt4HdwXSIXi9pJFb5NLsvtrhhy1NqschR2ZgOcBfH+tXM5iKGCana9A==" saltValue="HW69ZSys28uxUKg7ooyL4Q==" spinCount="100000" sheet="1" objects="1" scenarios="1"/>
  <protectedRanges>
    <protectedRange sqref="B7:O24" name="Range1"/>
  </protectedRanges>
  <dataValidations count="1">
    <dataValidation type="list" allowBlank="1" showInputMessage="1" showErrorMessage="1" sqref="C7:C24" xr:uid="{00000000-0002-0000-0400-000000000000}">
      <formula1>listbox_receitas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9">
    <tabColor rgb="FFFF7575"/>
  </sheetPr>
  <dimension ref="B1:V52"/>
  <sheetViews>
    <sheetView showGridLines="0" showRowColHeaders="0" topLeftCell="B1" zoomScaleNormal="100" workbookViewId="0">
      <pane ySplit="4" topLeftCell="A5" activePane="bottomLeft" state="frozen"/>
      <selection activeCell="I23" sqref="I23"/>
      <selection pane="bottomLeft" activeCell="B6" sqref="B6"/>
    </sheetView>
  </sheetViews>
  <sheetFormatPr defaultColWidth="9.1796875" defaultRowHeight="14.5" x14ac:dyDescent="0.35"/>
  <cols>
    <col min="1" max="1" width="4.6328125" style="62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82" customWidth="1"/>
    <col min="17" max="19" width="9.1796875" style="62"/>
    <col min="20" max="22" width="9.1796875" style="83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84" t="s">
        <v>0</v>
      </c>
      <c r="C6" s="90" t="s">
        <v>28</v>
      </c>
      <c r="D6" s="87" t="s">
        <v>1</v>
      </c>
      <c r="E6" s="87" t="s">
        <v>2</v>
      </c>
      <c r="F6" s="87" t="s">
        <v>3</v>
      </c>
      <c r="G6" s="87" t="s">
        <v>4</v>
      </c>
      <c r="H6" s="87" t="s">
        <v>5</v>
      </c>
      <c r="I6" s="87" t="s">
        <v>6</v>
      </c>
      <c r="J6" s="87" t="s">
        <v>7</v>
      </c>
      <c r="K6" s="87" t="s">
        <v>8</v>
      </c>
      <c r="L6" s="87" t="s">
        <v>9</v>
      </c>
      <c r="M6" s="87" t="s">
        <v>10</v>
      </c>
      <c r="N6" s="87" t="s">
        <v>11</v>
      </c>
      <c r="O6" s="88" t="s">
        <v>12</v>
      </c>
      <c r="P6" s="89" t="s">
        <v>55</v>
      </c>
      <c r="T6" s="137" t="s">
        <v>102</v>
      </c>
      <c r="U6" s="137" t="s">
        <v>107</v>
      </c>
      <c r="V6" s="137" t="s">
        <v>108</v>
      </c>
    </row>
    <row r="7" spans="2:22" ht="16" customHeight="1" x14ac:dyDescent="0.35">
      <c r="B7" s="101" t="s">
        <v>16</v>
      </c>
      <c r="C7" s="102" t="s">
        <v>29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6">
        <f>SUM(D7:O7)</f>
        <v>0</v>
      </c>
      <c r="T7" s="137">
        <f t="shared" ref="T7:T51" si="0">COUNTIF($P$7:$P$51,P7)</f>
        <v>33</v>
      </c>
      <c r="U7" s="137">
        <f>IF(T7&gt;1,COUNTIF($P$7:P7,P7),0)</f>
        <v>1</v>
      </c>
      <c r="V7" s="137">
        <f t="shared" ref="V7:V49" si="1">IF(T7=1,RANK(P7,$P$7:$P$51),RANK(P7,$P$7:$P$51)+U7/100)</f>
        <v>13.01</v>
      </c>
    </row>
    <row r="8" spans="2:22" ht="16" customHeight="1" x14ac:dyDescent="0.35">
      <c r="B8" s="107" t="s">
        <v>125</v>
      </c>
      <c r="C8" s="102" t="s">
        <v>29</v>
      </c>
      <c r="D8" s="103">
        <v>1300</v>
      </c>
      <c r="E8" s="104">
        <v>1300</v>
      </c>
      <c r="F8" s="104">
        <v>1300</v>
      </c>
      <c r="G8" s="104">
        <v>1300</v>
      </c>
      <c r="H8" s="104">
        <v>1300</v>
      </c>
      <c r="I8" s="104">
        <v>1300</v>
      </c>
      <c r="J8" s="104">
        <v>1300</v>
      </c>
      <c r="K8" s="104">
        <v>1300</v>
      </c>
      <c r="L8" s="104">
        <v>1300</v>
      </c>
      <c r="M8" s="104">
        <v>1200</v>
      </c>
      <c r="N8" s="104">
        <v>1200</v>
      </c>
      <c r="O8" s="105">
        <v>1200</v>
      </c>
      <c r="P8" s="106">
        <f t="shared" ref="P8:P50" si="2">SUM(D8:O8)</f>
        <v>15300</v>
      </c>
      <c r="T8" s="137">
        <f t="shared" si="0"/>
        <v>1</v>
      </c>
      <c r="U8" s="137">
        <f>IF(T8&gt;1,COUNTIF($P$7:P8,P8),0)</f>
        <v>0</v>
      </c>
      <c r="V8" s="137">
        <f t="shared" si="1"/>
        <v>1</v>
      </c>
    </row>
    <row r="9" spans="2:22" ht="16" customHeight="1" x14ac:dyDescent="0.35">
      <c r="B9" s="107" t="s">
        <v>21</v>
      </c>
      <c r="C9" s="102" t="s">
        <v>29</v>
      </c>
      <c r="D9" s="103">
        <v>150</v>
      </c>
      <c r="E9" s="104">
        <v>150</v>
      </c>
      <c r="F9" s="104">
        <v>150</v>
      </c>
      <c r="G9" s="104">
        <v>150</v>
      </c>
      <c r="H9" s="104">
        <v>150</v>
      </c>
      <c r="I9" s="104">
        <v>150</v>
      </c>
      <c r="J9" s="104">
        <v>150</v>
      </c>
      <c r="K9" s="104">
        <v>150</v>
      </c>
      <c r="L9" s="104">
        <v>150</v>
      </c>
      <c r="M9" s="104">
        <v>150</v>
      </c>
      <c r="N9" s="104">
        <v>150</v>
      </c>
      <c r="O9" s="105">
        <v>150</v>
      </c>
      <c r="P9" s="106">
        <f t="shared" si="2"/>
        <v>1800</v>
      </c>
      <c r="T9" s="137">
        <f t="shared" si="0"/>
        <v>2</v>
      </c>
      <c r="U9" s="137">
        <f>IF(T9&gt;1,COUNTIF($P$7:P9,P9),0)</f>
        <v>1</v>
      </c>
      <c r="V9" s="137">
        <f t="shared" si="1"/>
        <v>4.01</v>
      </c>
    </row>
    <row r="10" spans="2:22" ht="16" customHeight="1" x14ac:dyDescent="0.35">
      <c r="B10" s="107" t="s">
        <v>35</v>
      </c>
      <c r="C10" s="102" t="s">
        <v>29</v>
      </c>
      <c r="D10" s="103">
        <v>90</v>
      </c>
      <c r="E10" s="104">
        <v>90</v>
      </c>
      <c r="F10" s="104">
        <v>90</v>
      </c>
      <c r="G10" s="104">
        <v>90</v>
      </c>
      <c r="H10" s="104">
        <v>90</v>
      </c>
      <c r="I10" s="104">
        <v>90</v>
      </c>
      <c r="J10" s="104">
        <v>90</v>
      </c>
      <c r="K10" s="104">
        <v>90</v>
      </c>
      <c r="L10" s="104">
        <v>90</v>
      </c>
      <c r="M10" s="104">
        <v>90</v>
      </c>
      <c r="N10" s="104">
        <v>90</v>
      </c>
      <c r="O10" s="105">
        <v>90</v>
      </c>
      <c r="P10" s="106">
        <f t="shared" si="2"/>
        <v>1080</v>
      </c>
      <c r="T10" s="137">
        <f t="shared" si="0"/>
        <v>1</v>
      </c>
      <c r="U10" s="137">
        <f>IF(T10&gt;1,COUNTIF($P$7:P10,P10),0)</f>
        <v>0</v>
      </c>
      <c r="V10" s="137">
        <f t="shared" si="1"/>
        <v>9</v>
      </c>
    </row>
    <row r="11" spans="2:22" ht="16" customHeight="1" x14ac:dyDescent="0.35">
      <c r="B11" s="107" t="s">
        <v>36</v>
      </c>
      <c r="C11" s="102" t="s">
        <v>29</v>
      </c>
      <c r="D11" s="103">
        <v>80</v>
      </c>
      <c r="E11" s="104">
        <v>80</v>
      </c>
      <c r="F11" s="104">
        <v>80</v>
      </c>
      <c r="G11" s="104">
        <v>80</v>
      </c>
      <c r="H11" s="104">
        <v>80</v>
      </c>
      <c r="I11" s="104">
        <v>680</v>
      </c>
      <c r="J11" s="104">
        <v>80</v>
      </c>
      <c r="K11" s="104">
        <v>80</v>
      </c>
      <c r="L11" s="104">
        <v>80</v>
      </c>
      <c r="M11" s="104">
        <v>80</v>
      </c>
      <c r="N11" s="104">
        <v>80</v>
      </c>
      <c r="O11" s="105">
        <v>80</v>
      </c>
      <c r="P11" s="106">
        <f t="shared" si="2"/>
        <v>1560</v>
      </c>
      <c r="T11" s="137">
        <f t="shared" si="0"/>
        <v>1</v>
      </c>
      <c r="U11" s="137">
        <f>IF(T11&gt;1,COUNTIF($P$7:P11,P11),0)</f>
        <v>0</v>
      </c>
      <c r="V11" s="137">
        <f t="shared" si="1"/>
        <v>6</v>
      </c>
    </row>
    <row r="12" spans="2:22" ht="16" customHeight="1" x14ac:dyDescent="0.35">
      <c r="B12" s="107" t="s">
        <v>41</v>
      </c>
      <c r="C12" s="102" t="s">
        <v>29</v>
      </c>
      <c r="D12" s="103">
        <v>150</v>
      </c>
      <c r="E12" s="104">
        <v>150</v>
      </c>
      <c r="F12" s="104">
        <v>150</v>
      </c>
      <c r="G12" s="104">
        <v>150</v>
      </c>
      <c r="H12" s="104">
        <v>150</v>
      </c>
      <c r="I12" s="104">
        <v>150</v>
      </c>
      <c r="J12" s="104">
        <v>150</v>
      </c>
      <c r="K12" s="104">
        <v>150</v>
      </c>
      <c r="L12" s="104">
        <v>150</v>
      </c>
      <c r="M12" s="104">
        <v>150</v>
      </c>
      <c r="N12" s="104">
        <v>150</v>
      </c>
      <c r="O12" s="105">
        <v>150</v>
      </c>
      <c r="P12" s="106">
        <f t="shared" si="2"/>
        <v>1800</v>
      </c>
      <c r="T12" s="137">
        <f t="shared" si="0"/>
        <v>2</v>
      </c>
      <c r="U12" s="137">
        <f>IF(T12&gt;1,COUNTIF($P$7:P12,P12),0)</f>
        <v>2</v>
      </c>
      <c r="V12" s="137">
        <f t="shared" si="1"/>
        <v>4.0199999999999996</v>
      </c>
    </row>
    <row r="13" spans="2:22" ht="16" customHeight="1" x14ac:dyDescent="0.35">
      <c r="B13" s="107" t="s">
        <v>38</v>
      </c>
      <c r="C13" s="102" t="s">
        <v>29</v>
      </c>
      <c r="D13" s="103">
        <v>65</v>
      </c>
      <c r="E13" s="104">
        <v>65</v>
      </c>
      <c r="F13" s="104">
        <v>65</v>
      </c>
      <c r="G13" s="104">
        <v>65</v>
      </c>
      <c r="H13" s="104">
        <v>65</v>
      </c>
      <c r="I13" s="104">
        <v>65</v>
      </c>
      <c r="J13" s="104">
        <v>65</v>
      </c>
      <c r="K13" s="104">
        <v>65</v>
      </c>
      <c r="L13" s="104">
        <v>65</v>
      </c>
      <c r="M13" s="104">
        <v>65</v>
      </c>
      <c r="N13" s="104">
        <v>65</v>
      </c>
      <c r="O13" s="105">
        <v>65</v>
      </c>
      <c r="P13" s="106">
        <f t="shared" si="2"/>
        <v>780</v>
      </c>
      <c r="T13" s="137">
        <f t="shared" si="0"/>
        <v>1</v>
      </c>
      <c r="U13" s="137">
        <f>IF(T13&gt;1,COUNTIF($P$7:P13,P13),0)</f>
        <v>0</v>
      </c>
      <c r="V13" s="137">
        <f t="shared" si="1"/>
        <v>11</v>
      </c>
    </row>
    <row r="14" spans="2:22" ht="16" customHeight="1" x14ac:dyDescent="0.35">
      <c r="B14" s="107" t="s">
        <v>17</v>
      </c>
      <c r="C14" s="102" t="s">
        <v>29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06">
        <f t="shared" si="2"/>
        <v>0</v>
      </c>
      <c r="T14" s="137">
        <f t="shared" si="0"/>
        <v>33</v>
      </c>
      <c r="U14" s="137">
        <f>IF(T14&gt;1,COUNTIF($P$7:P14,P14),0)</f>
        <v>2</v>
      </c>
      <c r="V14" s="137">
        <f t="shared" si="1"/>
        <v>13.02</v>
      </c>
    </row>
    <row r="15" spans="2:22" ht="16" customHeight="1" x14ac:dyDescent="0.35">
      <c r="B15" s="107" t="s">
        <v>26</v>
      </c>
      <c r="C15" s="102" t="s">
        <v>29</v>
      </c>
      <c r="D15" s="103">
        <v>210</v>
      </c>
      <c r="E15" s="104">
        <v>210</v>
      </c>
      <c r="F15" s="104">
        <v>210</v>
      </c>
      <c r="G15" s="104">
        <v>210</v>
      </c>
      <c r="H15" s="104">
        <v>210</v>
      </c>
      <c r="I15" s="104">
        <v>210</v>
      </c>
      <c r="J15" s="104">
        <v>210</v>
      </c>
      <c r="K15" s="104">
        <v>210</v>
      </c>
      <c r="L15" s="104">
        <v>210</v>
      </c>
      <c r="M15" s="104">
        <v>210</v>
      </c>
      <c r="N15" s="104">
        <v>210</v>
      </c>
      <c r="O15" s="105">
        <v>210</v>
      </c>
      <c r="P15" s="106">
        <f t="shared" si="2"/>
        <v>2520</v>
      </c>
      <c r="T15" s="137">
        <f t="shared" si="0"/>
        <v>1</v>
      </c>
      <c r="U15" s="137">
        <f>IF(T15&gt;1,COUNTIF($P$7:P15,P15),0)</f>
        <v>0</v>
      </c>
      <c r="V15" s="137">
        <f t="shared" si="1"/>
        <v>3</v>
      </c>
    </row>
    <row r="16" spans="2:22" ht="16" customHeight="1" x14ac:dyDescent="0.35">
      <c r="B16" s="107" t="s">
        <v>37</v>
      </c>
      <c r="C16" s="102" t="s">
        <v>29</v>
      </c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  <c r="P16" s="106">
        <f t="shared" si="2"/>
        <v>0</v>
      </c>
      <c r="T16" s="137">
        <f t="shared" si="0"/>
        <v>33</v>
      </c>
      <c r="U16" s="137">
        <f>IF(T16&gt;1,COUNTIF($P$7:P16,P16),0)</f>
        <v>3</v>
      </c>
      <c r="V16" s="137">
        <f t="shared" si="1"/>
        <v>13.03</v>
      </c>
    </row>
    <row r="17" spans="2:22" ht="16" customHeight="1" x14ac:dyDescent="0.35">
      <c r="B17" s="107" t="s">
        <v>48</v>
      </c>
      <c r="C17" s="102" t="s">
        <v>29</v>
      </c>
      <c r="D17" s="103"/>
      <c r="E17" s="104">
        <v>550</v>
      </c>
      <c r="F17" s="104"/>
      <c r="G17" s="104"/>
      <c r="H17" s="104">
        <v>300</v>
      </c>
      <c r="I17" s="104"/>
      <c r="J17" s="104"/>
      <c r="K17" s="104">
        <v>120</v>
      </c>
      <c r="L17" s="104">
        <v>130</v>
      </c>
      <c r="M17" s="104">
        <v>140</v>
      </c>
      <c r="N17" s="104"/>
      <c r="O17" s="105"/>
      <c r="P17" s="106">
        <f t="shared" si="2"/>
        <v>1240</v>
      </c>
      <c r="T17" s="137">
        <f t="shared" si="0"/>
        <v>1</v>
      </c>
      <c r="U17" s="137">
        <f>IF(T17&gt;1,COUNTIF($P$7:P17,P17),0)</f>
        <v>0</v>
      </c>
      <c r="V17" s="137">
        <f t="shared" si="1"/>
        <v>7</v>
      </c>
    </row>
    <row r="18" spans="2:22" ht="16" customHeight="1" x14ac:dyDescent="0.35">
      <c r="B18" s="107" t="s">
        <v>22</v>
      </c>
      <c r="C18" s="102" t="s">
        <v>30</v>
      </c>
      <c r="D18" s="103">
        <v>250</v>
      </c>
      <c r="E18" s="104">
        <v>250</v>
      </c>
      <c r="F18" s="104">
        <v>250</v>
      </c>
      <c r="G18" s="104">
        <v>250</v>
      </c>
      <c r="H18" s="104">
        <v>250</v>
      </c>
      <c r="I18" s="104">
        <v>250</v>
      </c>
      <c r="J18" s="104">
        <v>250</v>
      </c>
      <c r="K18" s="104">
        <v>250</v>
      </c>
      <c r="L18" s="104">
        <v>250</v>
      </c>
      <c r="M18" s="104">
        <v>250</v>
      </c>
      <c r="N18" s="104">
        <v>250</v>
      </c>
      <c r="O18" s="105">
        <v>250</v>
      </c>
      <c r="P18" s="106">
        <f t="shared" si="2"/>
        <v>3000</v>
      </c>
      <c r="T18" s="137">
        <f t="shared" si="0"/>
        <v>1</v>
      </c>
      <c r="U18" s="137">
        <f>IF(T18&gt;1,COUNTIF($P$7:P18,P18),0)</f>
        <v>0</v>
      </c>
      <c r="V18" s="137">
        <f t="shared" si="1"/>
        <v>2</v>
      </c>
    </row>
    <row r="19" spans="2:22" ht="16" customHeight="1" x14ac:dyDescent="0.35">
      <c r="B19" s="107" t="s">
        <v>24</v>
      </c>
      <c r="C19" s="102" t="s">
        <v>30</v>
      </c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>
        <f t="shared" si="2"/>
        <v>0</v>
      </c>
      <c r="T19" s="137">
        <f t="shared" si="0"/>
        <v>33</v>
      </c>
      <c r="U19" s="137">
        <f>IF(T19&gt;1,COUNTIF($P$7:P19,P19),0)</f>
        <v>4</v>
      </c>
      <c r="V19" s="137">
        <f t="shared" si="1"/>
        <v>13.04</v>
      </c>
    </row>
    <row r="20" spans="2:22" ht="16" customHeight="1" x14ac:dyDescent="0.35">
      <c r="B20" s="107" t="s">
        <v>23</v>
      </c>
      <c r="C20" s="102" t="s">
        <v>30</v>
      </c>
      <c r="D20" s="103"/>
      <c r="E20" s="104"/>
      <c r="F20" s="104"/>
      <c r="G20" s="104">
        <v>420</v>
      </c>
      <c r="H20" s="104"/>
      <c r="I20" s="104"/>
      <c r="J20" s="104"/>
      <c r="K20" s="104"/>
      <c r="L20" s="104"/>
      <c r="M20" s="104"/>
      <c r="N20" s="104">
        <v>300</v>
      </c>
      <c r="O20" s="105"/>
      <c r="P20" s="106">
        <f t="shared" si="2"/>
        <v>720</v>
      </c>
      <c r="T20" s="137">
        <f t="shared" si="0"/>
        <v>1</v>
      </c>
      <c r="U20" s="137">
        <f>IF(T20&gt;1,COUNTIF($P$7:P20,P20),0)</f>
        <v>0</v>
      </c>
      <c r="V20" s="137">
        <f t="shared" si="1"/>
        <v>12</v>
      </c>
    </row>
    <row r="21" spans="2:22" ht="16" customHeight="1" x14ac:dyDescent="0.35">
      <c r="B21" s="107" t="s">
        <v>31</v>
      </c>
      <c r="C21" s="102" t="s">
        <v>30</v>
      </c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>
        <f t="shared" si="2"/>
        <v>0</v>
      </c>
      <c r="T21" s="137">
        <f t="shared" si="0"/>
        <v>33</v>
      </c>
      <c r="U21" s="137">
        <f>IF(T21&gt;1,COUNTIF($P$7:P21,P21),0)</f>
        <v>5</v>
      </c>
      <c r="V21" s="137">
        <f t="shared" si="1"/>
        <v>13.05</v>
      </c>
    </row>
    <row r="22" spans="2:22" ht="16" customHeight="1" x14ac:dyDescent="0.35">
      <c r="B22" s="107" t="s">
        <v>32</v>
      </c>
      <c r="C22" s="102" t="s">
        <v>30</v>
      </c>
      <c r="D22" s="103">
        <v>80</v>
      </c>
      <c r="E22" s="104">
        <v>70</v>
      </c>
      <c r="F22" s="104">
        <v>55</v>
      </c>
      <c r="G22" s="104">
        <v>45</v>
      </c>
      <c r="H22" s="104">
        <v>65</v>
      </c>
      <c r="I22" s="104">
        <v>70</v>
      </c>
      <c r="J22" s="104">
        <v>65</v>
      </c>
      <c r="K22" s="104">
        <v>89</v>
      </c>
      <c r="L22" s="104">
        <v>95</v>
      </c>
      <c r="M22" s="104">
        <v>89</v>
      </c>
      <c r="N22" s="104">
        <v>98</v>
      </c>
      <c r="O22" s="105">
        <v>74</v>
      </c>
      <c r="P22" s="106">
        <f t="shared" si="2"/>
        <v>895</v>
      </c>
      <c r="T22" s="137">
        <f t="shared" si="0"/>
        <v>1</v>
      </c>
      <c r="U22" s="137">
        <f>IF(T22&gt;1,COUNTIF($P$7:P22,P22),0)</f>
        <v>0</v>
      </c>
      <c r="V22" s="137">
        <f t="shared" si="1"/>
        <v>10</v>
      </c>
    </row>
    <row r="23" spans="2:22" ht="16" customHeight="1" x14ac:dyDescent="0.35">
      <c r="B23" s="107" t="s">
        <v>33</v>
      </c>
      <c r="C23" s="102" t="s">
        <v>30</v>
      </c>
      <c r="D23" s="103">
        <v>200</v>
      </c>
      <c r="E23" s="104">
        <v>210</v>
      </c>
      <c r="F23" s="104">
        <v>230</v>
      </c>
      <c r="G23" s="104">
        <v>250</v>
      </c>
      <c r="H23" s="104">
        <v>260</v>
      </c>
      <c r="I23" s="104"/>
      <c r="J23" s="104"/>
      <c r="K23" s="104"/>
      <c r="L23" s="104"/>
      <c r="M23" s="104"/>
      <c r="N23" s="104"/>
      <c r="O23" s="105"/>
      <c r="P23" s="106">
        <f t="shared" si="2"/>
        <v>1150</v>
      </c>
      <c r="T23" s="137">
        <f t="shared" si="0"/>
        <v>1</v>
      </c>
      <c r="U23" s="137">
        <f>IF(T23&gt;1,COUNTIF($P$7:P23,P23),0)</f>
        <v>0</v>
      </c>
      <c r="V23" s="137">
        <f t="shared" si="1"/>
        <v>8</v>
      </c>
    </row>
    <row r="24" spans="2:22" ht="16" customHeight="1" x14ac:dyDescent="0.35">
      <c r="B24" s="107" t="s">
        <v>126</v>
      </c>
      <c r="C24" s="102" t="s">
        <v>30</v>
      </c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6">
        <f t="shared" si="2"/>
        <v>0</v>
      </c>
      <c r="T24" s="137">
        <f t="shared" si="0"/>
        <v>33</v>
      </c>
      <c r="U24" s="137">
        <f>IF(T24&gt;1,COUNTIF($P$7:P24,P24),0)</f>
        <v>6</v>
      </c>
      <c r="V24" s="137">
        <f t="shared" si="1"/>
        <v>13.06</v>
      </c>
    </row>
    <row r="25" spans="2:22" ht="16" customHeight="1" x14ac:dyDescent="0.35">
      <c r="B25" s="107" t="s">
        <v>25</v>
      </c>
      <c r="C25" s="102" t="s">
        <v>34</v>
      </c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>
        <f t="shared" si="2"/>
        <v>0</v>
      </c>
      <c r="T25" s="137">
        <f t="shared" si="0"/>
        <v>33</v>
      </c>
      <c r="U25" s="137">
        <f>IF(T25&gt;1,COUNTIF($P$7:P25,P25),0)</f>
        <v>7</v>
      </c>
      <c r="V25" s="137">
        <f t="shared" si="1"/>
        <v>13.07</v>
      </c>
    </row>
    <row r="26" spans="2:22" ht="16" customHeight="1" x14ac:dyDescent="0.35">
      <c r="B26" s="107" t="s">
        <v>127</v>
      </c>
      <c r="C26" s="102" t="s">
        <v>34</v>
      </c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06">
        <f t="shared" si="2"/>
        <v>0</v>
      </c>
      <c r="T26" s="137">
        <f t="shared" si="0"/>
        <v>33</v>
      </c>
      <c r="U26" s="137">
        <f>IF(T26&gt;1,COUNTIF($P$7:P26,P26),0)</f>
        <v>8</v>
      </c>
      <c r="V26" s="137">
        <f t="shared" si="1"/>
        <v>13.08</v>
      </c>
    </row>
    <row r="27" spans="2:22" ht="16" customHeight="1" x14ac:dyDescent="0.35">
      <c r="B27" s="107" t="s">
        <v>47</v>
      </c>
      <c r="C27" s="102" t="s">
        <v>34</v>
      </c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>
        <f t="shared" si="2"/>
        <v>0</v>
      </c>
      <c r="T27" s="137">
        <f t="shared" si="0"/>
        <v>33</v>
      </c>
      <c r="U27" s="137">
        <f>IF(T27&gt;1,COUNTIF($P$7:P27,P27),0)</f>
        <v>9</v>
      </c>
      <c r="V27" s="137">
        <f t="shared" si="1"/>
        <v>13.09</v>
      </c>
    </row>
    <row r="28" spans="2:22" ht="16" customHeight="1" x14ac:dyDescent="0.35">
      <c r="B28" s="107" t="s">
        <v>46</v>
      </c>
      <c r="C28" s="102" t="s">
        <v>34</v>
      </c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106">
        <f t="shared" si="2"/>
        <v>0</v>
      </c>
      <c r="T28" s="137">
        <f t="shared" si="0"/>
        <v>33</v>
      </c>
      <c r="U28" s="137">
        <f>IF(T28&gt;1,COUNTIF($P$7:P28,P28),0)</f>
        <v>10</v>
      </c>
      <c r="V28" s="137">
        <f t="shared" si="1"/>
        <v>13.1</v>
      </c>
    </row>
    <row r="29" spans="2:22" ht="16" customHeight="1" x14ac:dyDescent="0.35">
      <c r="B29" s="107" t="s">
        <v>26</v>
      </c>
      <c r="C29" s="102" t="s">
        <v>40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>
        <f t="shared" si="2"/>
        <v>0</v>
      </c>
      <c r="T29" s="137">
        <f t="shared" si="0"/>
        <v>33</v>
      </c>
      <c r="U29" s="137">
        <f>IF(T29&gt;1,COUNTIF($P$7:P29,P29),0)</f>
        <v>11</v>
      </c>
      <c r="V29" s="137">
        <f t="shared" si="1"/>
        <v>13.11</v>
      </c>
    </row>
    <row r="30" spans="2:22" ht="16" customHeight="1" x14ac:dyDescent="0.35">
      <c r="B30" s="107" t="s">
        <v>27</v>
      </c>
      <c r="C30" s="102" t="s">
        <v>40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106">
        <f t="shared" si="2"/>
        <v>0</v>
      </c>
      <c r="T30" s="137">
        <f t="shared" si="0"/>
        <v>33</v>
      </c>
      <c r="U30" s="137">
        <f>IF(T30&gt;1,COUNTIF($P$7:P30,P30),0)</f>
        <v>12</v>
      </c>
      <c r="V30" s="137">
        <f t="shared" si="1"/>
        <v>13.12</v>
      </c>
    </row>
    <row r="31" spans="2:22" ht="16" customHeight="1" x14ac:dyDescent="0.35">
      <c r="B31" s="107" t="s">
        <v>18</v>
      </c>
      <c r="C31" s="102" t="s">
        <v>39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>
        <f t="shared" si="2"/>
        <v>0</v>
      </c>
      <c r="T31" s="137">
        <f t="shared" si="0"/>
        <v>33</v>
      </c>
      <c r="U31" s="137">
        <f>IF(T31&gt;1,COUNTIF($P$7:P31,P31),0)</f>
        <v>13</v>
      </c>
      <c r="V31" s="137">
        <f t="shared" si="1"/>
        <v>13.13</v>
      </c>
    </row>
    <row r="32" spans="2:22" ht="16" customHeight="1" x14ac:dyDescent="0.35">
      <c r="B32" s="107" t="s">
        <v>19</v>
      </c>
      <c r="C32" s="102" t="s">
        <v>39</v>
      </c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6">
        <f t="shared" si="2"/>
        <v>0</v>
      </c>
      <c r="T32" s="137">
        <f t="shared" si="0"/>
        <v>33</v>
      </c>
      <c r="U32" s="137">
        <f>IF(T32&gt;1,COUNTIF($P$7:P32,P32),0)</f>
        <v>14</v>
      </c>
      <c r="V32" s="137">
        <f t="shared" si="1"/>
        <v>13.14</v>
      </c>
    </row>
    <row r="33" spans="2:22" ht="16" customHeight="1" x14ac:dyDescent="0.35">
      <c r="B33" s="107" t="s">
        <v>20</v>
      </c>
      <c r="C33" s="102" t="s">
        <v>39</v>
      </c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>
        <f t="shared" si="2"/>
        <v>0</v>
      </c>
      <c r="T33" s="137">
        <f t="shared" si="0"/>
        <v>33</v>
      </c>
      <c r="U33" s="137">
        <f>IF(T33&gt;1,COUNTIF($P$7:P33,P33),0)</f>
        <v>15</v>
      </c>
      <c r="V33" s="137">
        <f t="shared" si="1"/>
        <v>13.15</v>
      </c>
    </row>
    <row r="34" spans="2:22" ht="16" customHeight="1" x14ac:dyDescent="0.35">
      <c r="B34" s="107" t="s">
        <v>49</v>
      </c>
      <c r="C34" s="102" t="s">
        <v>39</v>
      </c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106">
        <f t="shared" si="2"/>
        <v>0</v>
      </c>
      <c r="T34" s="137">
        <f t="shared" si="0"/>
        <v>33</v>
      </c>
      <c r="U34" s="137">
        <f>IF(T34&gt;1,COUNTIF($P$7:P34,P34),0)</f>
        <v>16</v>
      </c>
      <c r="V34" s="137">
        <f t="shared" si="1"/>
        <v>13.16</v>
      </c>
    </row>
    <row r="35" spans="2:22" ht="16" customHeight="1" x14ac:dyDescent="0.35">
      <c r="B35" s="107" t="s">
        <v>43</v>
      </c>
      <c r="C35" s="102" t="s">
        <v>42</v>
      </c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>
        <f t="shared" si="2"/>
        <v>0</v>
      </c>
      <c r="T35" s="137">
        <f t="shared" si="0"/>
        <v>33</v>
      </c>
      <c r="U35" s="137">
        <f>IF(T35&gt;1,COUNTIF($P$7:P35,P35),0)</f>
        <v>17</v>
      </c>
      <c r="V35" s="137">
        <f t="shared" si="1"/>
        <v>13.17</v>
      </c>
    </row>
    <row r="36" spans="2:22" ht="16" customHeight="1" x14ac:dyDescent="0.35">
      <c r="B36" s="107" t="s">
        <v>44</v>
      </c>
      <c r="C36" s="102" t="s">
        <v>42</v>
      </c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/>
      <c r="P36" s="106">
        <f t="shared" si="2"/>
        <v>0</v>
      </c>
      <c r="T36" s="137">
        <f t="shared" si="0"/>
        <v>33</v>
      </c>
      <c r="U36" s="137">
        <f>IF(T36&gt;1,COUNTIF($P$7:P36,P36),0)</f>
        <v>18</v>
      </c>
      <c r="V36" s="137">
        <f t="shared" si="1"/>
        <v>13.18</v>
      </c>
    </row>
    <row r="37" spans="2:22" ht="16" customHeight="1" x14ac:dyDescent="0.35">
      <c r="B37" s="107" t="s">
        <v>50</v>
      </c>
      <c r="C37" s="102" t="s">
        <v>53</v>
      </c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>
        <f t="shared" si="2"/>
        <v>0</v>
      </c>
      <c r="T37" s="137">
        <f t="shared" si="0"/>
        <v>33</v>
      </c>
      <c r="U37" s="137">
        <f>IF(T37&gt;1,COUNTIF($P$7:P37,P37),0)</f>
        <v>19</v>
      </c>
      <c r="V37" s="137">
        <f t="shared" si="1"/>
        <v>13.19</v>
      </c>
    </row>
    <row r="38" spans="2:22" ht="16" customHeight="1" x14ac:dyDescent="0.35">
      <c r="B38" s="107" t="s">
        <v>51</v>
      </c>
      <c r="C38" s="102" t="s">
        <v>53</v>
      </c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6">
        <f t="shared" si="2"/>
        <v>0</v>
      </c>
      <c r="T38" s="137">
        <f t="shared" si="0"/>
        <v>33</v>
      </c>
      <c r="U38" s="137">
        <f>IF(T38&gt;1,COUNTIF($P$7:P38,P38),0)</f>
        <v>20</v>
      </c>
      <c r="V38" s="137">
        <f t="shared" si="1"/>
        <v>13.2</v>
      </c>
    </row>
    <row r="39" spans="2:22" ht="16" customHeight="1" x14ac:dyDescent="0.35">
      <c r="B39" s="107" t="s">
        <v>52</v>
      </c>
      <c r="C39" s="102" t="s">
        <v>53</v>
      </c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>
        <f t="shared" si="2"/>
        <v>0</v>
      </c>
      <c r="T39" s="137">
        <f t="shared" si="0"/>
        <v>33</v>
      </c>
      <c r="U39" s="137">
        <f>IF(T39&gt;1,COUNTIF($P$7:P39,P39),0)</f>
        <v>21</v>
      </c>
      <c r="V39" s="137">
        <f t="shared" si="1"/>
        <v>13.21</v>
      </c>
    </row>
    <row r="40" spans="2:22" ht="16" customHeight="1" x14ac:dyDescent="0.35">
      <c r="B40" s="107" t="s">
        <v>128</v>
      </c>
      <c r="C40" s="102" t="s">
        <v>54</v>
      </c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106">
        <f t="shared" si="2"/>
        <v>0</v>
      </c>
      <c r="T40" s="137">
        <f t="shared" si="0"/>
        <v>33</v>
      </c>
      <c r="U40" s="137">
        <f>IF(T40&gt;1,COUNTIF($P$7:P40,P40),0)</f>
        <v>22</v>
      </c>
      <c r="V40" s="137">
        <f t="shared" si="1"/>
        <v>13.22</v>
      </c>
    </row>
    <row r="41" spans="2:22" ht="16" customHeight="1" x14ac:dyDescent="0.35">
      <c r="B41" s="107" t="s">
        <v>45</v>
      </c>
      <c r="C41" s="102" t="s">
        <v>54</v>
      </c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>
        <f t="shared" si="2"/>
        <v>0</v>
      </c>
      <c r="T41" s="137">
        <f t="shared" si="0"/>
        <v>33</v>
      </c>
      <c r="U41" s="137">
        <f>IF(T41&gt;1,COUNTIF($P$7:P41,P41),0)</f>
        <v>23</v>
      </c>
      <c r="V41" s="137">
        <f t="shared" si="1"/>
        <v>13.23</v>
      </c>
    </row>
    <row r="42" spans="2:22" ht="16" customHeight="1" x14ac:dyDescent="0.35">
      <c r="B42" s="107" t="s">
        <v>129</v>
      </c>
      <c r="C42" s="102" t="s">
        <v>53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5"/>
      <c r="P42" s="106">
        <f t="shared" si="2"/>
        <v>0</v>
      </c>
      <c r="T42" s="137">
        <f t="shared" si="0"/>
        <v>33</v>
      </c>
      <c r="U42" s="137">
        <f>IF(T42&gt;1,COUNTIF($P$7:P42,P42),0)</f>
        <v>24</v>
      </c>
      <c r="V42" s="137">
        <f t="shared" si="1"/>
        <v>13.24</v>
      </c>
    </row>
    <row r="43" spans="2:22" ht="16" customHeight="1" x14ac:dyDescent="0.35">
      <c r="B43" s="107" t="s">
        <v>130</v>
      </c>
      <c r="C43" s="102" t="s">
        <v>54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>
        <f t="shared" si="2"/>
        <v>0</v>
      </c>
      <c r="T43" s="137">
        <f t="shared" si="0"/>
        <v>33</v>
      </c>
      <c r="U43" s="137">
        <f>IF(T43&gt;1,COUNTIF($P$7:P43,P43),0)</f>
        <v>25</v>
      </c>
      <c r="V43" s="137">
        <f t="shared" si="1"/>
        <v>13.25</v>
      </c>
    </row>
    <row r="44" spans="2:22" ht="16" customHeight="1" x14ac:dyDescent="0.35">
      <c r="B44" s="107"/>
      <c r="C44" s="102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106">
        <f t="shared" si="2"/>
        <v>0</v>
      </c>
      <c r="T44" s="137">
        <f t="shared" si="0"/>
        <v>33</v>
      </c>
      <c r="U44" s="137">
        <f>IF(T44&gt;1,COUNTIF($P$7:P44,P44),0)</f>
        <v>26</v>
      </c>
      <c r="V44" s="137">
        <f t="shared" si="1"/>
        <v>13.26</v>
      </c>
    </row>
    <row r="45" spans="2:22" ht="16" customHeight="1" x14ac:dyDescent="0.35">
      <c r="B45" s="107"/>
      <c r="C45" s="102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>
        <f t="shared" si="2"/>
        <v>0</v>
      </c>
      <c r="T45" s="137">
        <f t="shared" si="0"/>
        <v>33</v>
      </c>
      <c r="U45" s="137">
        <f>IF(T45&gt;1,COUNTIF($P$7:P45,P45),0)</f>
        <v>27</v>
      </c>
      <c r="V45" s="137">
        <f t="shared" si="1"/>
        <v>13.27</v>
      </c>
    </row>
    <row r="46" spans="2:22" ht="16" customHeight="1" x14ac:dyDescent="0.35">
      <c r="B46" s="107"/>
      <c r="C46" s="102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  <c r="P46" s="106">
        <f t="shared" si="2"/>
        <v>0</v>
      </c>
      <c r="T46" s="137">
        <f t="shared" si="0"/>
        <v>33</v>
      </c>
      <c r="U46" s="137">
        <f>IF(T46&gt;1,COUNTIF($P$7:P46,P46),0)</f>
        <v>28</v>
      </c>
      <c r="V46" s="137">
        <f t="shared" si="1"/>
        <v>13.28</v>
      </c>
    </row>
    <row r="47" spans="2:22" ht="16" customHeight="1" x14ac:dyDescent="0.35">
      <c r="B47" s="107"/>
      <c r="C47" s="102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6">
        <f t="shared" si="2"/>
        <v>0</v>
      </c>
      <c r="T47" s="137">
        <f t="shared" si="0"/>
        <v>33</v>
      </c>
      <c r="U47" s="137">
        <f>IF(T47&gt;1,COUNTIF($P$7:P47,P47),0)</f>
        <v>29</v>
      </c>
      <c r="V47" s="137">
        <f t="shared" si="1"/>
        <v>13.29</v>
      </c>
    </row>
    <row r="48" spans="2:22" ht="16" customHeight="1" x14ac:dyDescent="0.35">
      <c r="B48" s="107"/>
      <c r="C48" s="102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  <c r="P48" s="106">
        <f t="shared" si="2"/>
        <v>0</v>
      </c>
      <c r="T48" s="137">
        <f t="shared" si="0"/>
        <v>33</v>
      </c>
      <c r="U48" s="137">
        <f>IF(T48&gt;1,COUNTIF($P$7:P48,P48),0)</f>
        <v>30</v>
      </c>
      <c r="V48" s="137">
        <f t="shared" si="1"/>
        <v>13.3</v>
      </c>
    </row>
    <row r="49" spans="2:22" ht="16" customHeight="1" x14ac:dyDescent="0.35">
      <c r="B49" s="107"/>
      <c r="C49" s="102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6">
        <f t="shared" si="2"/>
        <v>0</v>
      </c>
      <c r="T49" s="137">
        <f t="shared" si="0"/>
        <v>33</v>
      </c>
      <c r="U49" s="137">
        <f>IF(T49&gt;1,COUNTIF($P$7:P49,P49),0)</f>
        <v>31</v>
      </c>
      <c r="V49" s="137">
        <f t="shared" si="1"/>
        <v>13.31</v>
      </c>
    </row>
    <row r="50" spans="2:22" ht="16" customHeight="1" x14ac:dyDescent="0.35">
      <c r="B50" s="107"/>
      <c r="C50" s="102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  <c r="P50" s="106">
        <f t="shared" si="2"/>
        <v>0</v>
      </c>
      <c r="T50" s="137">
        <f t="shared" si="0"/>
        <v>33</v>
      </c>
      <c r="U50" s="137">
        <f>IF(T50&gt;1,COUNTIF($P$7:P50,P50),0)</f>
        <v>32</v>
      </c>
      <c r="V50" s="137">
        <f>IF(T50=1,RANK(P50,$P$7:$P$51),RANK(P50,$P$7:$P$51)+U50/100)</f>
        <v>13.32</v>
      </c>
    </row>
    <row r="51" spans="2:22" ht="16" customHeight="1" x14ac:dyDescent="0.35">
      <c r="B51" s="108"/>
      <c r="C51" s="102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6">
        <f t="shared" ref="P51" si="3">SUM(D51:O51)</f>
        <v>0</v>
      </c>
      <c r="T51" s="137">
        <f t="shared" si="0"/>
        <v>33</v>
      </c>
      <c r="U51" s="137">
        <f>IF(T51&gt;1,COUNTIF($P$7:P51,P51),0)</f>
        <v>33</v>
      </c>
      <c r="V51" s="137">
        <f>IF(T51=1,RANK(P51,$P$7:$P$51),RANK(P51,$P$7:$P$51)+U51/100)</f>
        <v>13.33</v>
      </c>
    </row>
    <row r="52" spans="2:22" s="85" customFormat="1" ht="21" customHeight="1" x14ac:dyDescent="0.35">
      <c r="C52" s="91" t="s">
        <v>55</v>
      </c>
      <c r="D52" s="116">
        <f t="shared" ref="D52:O52" si="4">IF(SUM(D7:D51)=0,NA(),SUM(D7:D51))</f>
        <v>2575</v>
      </c>
      <c r="E52" s="116">
        <f t="shared" si="4"/>
        <v>3125</v>
      </c>
      <c r="F52" s="116">
        <f t="shared" si="4"/>
        <v>2580</v>
      </c>
      <c r="G52" s="116">
        <f t="shared" si="4"/>
        <v>3010</v>
      </c>
      <c r="H52" s="116">
        <f t="shared" si="4"/>
        <v>2920</v>
      </c>
      <c r="I52" s="116">
        <f t="shared" si="4"/>
        <v>2965</v>
      </c>
      <c r="J52" s="116">
        <f t="shared" si="4"/>
        <v>2360</v>
      </c>
      <c r="K52" s="116">
        <f t="shared" si="4"/>
        <v>2504</v>
      </c>
      <c r="L52" s="116">
        <f t="shared" si="4"/>
        <v>2520</v>
      </c>
      <c r="M52" s="116">
        <f t="shared" si="4"/>
        <v>2424</v>
      </c>
      <c r="N52" s="116">
        <f t="shared" si="4"/>
        <v>2593</v>
      </c>
      <c r="O52" s="116">
        <f t="shared" si="4"/>
        <v>2269</v>
      </c>
      <c r="P52" s="92">
        <f>SUM(P7:P51)</f>
        <v>31845</v>
      </c>
      <c r="T52" s="86"/>
      <c r="U52" s="86"/>
      <c r="V52" s="86"/>
    </row>
  </sheetData>
  <sheetProtection algorithmName="SHA-512" hashValue="7zvzcBYF8z76u3pFnYOwbMLFhygRLEyuKWO8spbxOWnI5Vj1Nx1W+X9IC73dLQQDTm0Dn3GhsV+KBVf1ahol/w==" saltValue="MMzLsavsfXAVgiRWMk4bXQ==" spinCount="100000" sheet="1" objects="1" scenarios="1"/>
  <protectedRanges>
    <protectedRange sqref="B7:O51" name="Range1"/>
  </protectedRanges>
  <dataValidations count="1">
    <dataValidation type="list" allowBlank="1" showInputMessage="1" showErrorMessage="1" sqref="C7:C51" xr:uid="{00000000-0002-0000-0300-000000000000}">
      <formula1>listbox_despesas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547B-86F1-4E40-96E3-B194883BB18E}">
  <sheetPr>
    <tabColor theme="8" tint="-0.249977111117893"/>
  </sheetPr>
  <dimension ref="A1:V28"/>
  <sheetViews>
    <sheetView showGridLines="0" showRowColHeaders="0" topLeftCell="G1" zoomScaleNormal="100" workbookViewId="0">
      <pane ySplit="4" topLeftCell="A5" activePane="bottomLeft" state="frozen"/>
      <selection activeCell="I23" sqref="I23"/>
      <selection pane="bottomLeft" activeCell="G14" sqref="G14"/>
    </sheetView>
  </sheetViews>
  <sheetFormatPr defaultColWidth="9.1796875" defaultRowHeight="14.5" x14ac:dyDescent="0.35"/>
  <cols>
    <col min="1" max="1" width="4.6328125" style="71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71" customWidth="1"/>
    <col min="17" max="18" width="9.1796875" style="71"/>
    <col min="19" max="19" width="9.1796875" style="72"/>
    <col min="20" max="20" width="11.7265625" style="73" bestFit="1" customWidth="1"/>
    <col min="21" max="21" width="9.1796875" style="74"/>
    <col min="22" max="22" width="9.1796875" style="75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114" t="s">
        <v>78</v>
      </c>
      <c r="C6" s="112" t="s">
        <v>28</v>
      </c>
      <c r="D6" s="113" t="s">
        <v>1</v>
      </c>
      <c r="E6" s="113" t="s">
        <v>2</v>
      </c>
      <c r="F6" s="113" t="s">
        <v>3</v>
      </c>
      <c r="G6" s="113" t="s">
        <v>4</v>
      </c>
      <c r="H6" s="113" t="s">
        <v>5</v>
      </c>
      <c r="I6" s="113" t="s">
        <v>6</v>
      </c>
      <c r="J6" s="113" t="s">
        <v>7</v>
      </c>
      <c r="K6" s="113" t="s">
        <v>8</v>
      </c>
      <c r="L6" s="113" t="s">
        <v>9</v>
      </c>
      <c r="M6" s="113" t="s">
        <v>10</v>
      </c>
      <c r="N6" s="113" t="s">
        <v>11</v>
      </c>
      <c r="O6" s="113" t="s">
        <v>12</v>
      </c>
      <c r="P6" s="111" t="s">
        <v>55</v>
      </c>
      <c r="T6" s="136" t="s">
        <v>102</v>
      </c>
      <c r="U6" s="136" t="s">
        <v>107</v>
      </c>
      <c r="V6" s="136" t="s">
        <v>108</v>
      </c>
    </row>
    <row r="7" spans="2:22" ht="16" customHeight="1" x14ac:dyDescent="0.35">
      <c r="B7" s="93" t="s">
        <v>133</v>
      </c>
      <c r="C7" s="94" t="s">
        <v>141</v>
      </c>
      <c r="D7" s="96">
        <v>100</v>
      </c>
      <c r="E7" s="96">
        <v>100</v>
      </c>
      <c r="F7" s="96">
        <v>100</v>
      </c>
      <c r="G7" s="96">
        <v>100</v>
      </c>
      <c r="H7" s="96">
        <v>100</v>
      </c>
      <c r="I7" s="96">
        <v>100</v>
      </c>
      <c r="J7" s="96">
        <v>100</v>
      </c>
      <c r="K7" s="96">
        <v>100</v>
      </c>
      <c r="L7" s="96">
        <v>100</v>
      </c>
      <c r="M7" s="96">
        <v>100</v>
      </c>
      <c r="N7" s="96">
        <v>100</v>
      </c>
      <c r="O7" s="98">
        <v>200</v>
      </c>
      <c r="P7" s="99">
        <f>SUM(D7:O7)</f>
        <v>1300</v>
      </c>
      <c r="T7" s="136">
        <f t="shared" ref="T7:T20" si="0">COUNTIF($P$7:$P$20,P7)</f>
        <v>2</v>
      </c>
      <c r="U7" s="136">
        <f>IF(T7&gt;1,COUNTIF($P$7:P7,P7),0)</f>
        <v>1</v>
      </c>
      <c r="V7" s="136">
        <f t="shared" ref="V7:V20" si="1">IF(T7=1,RANK(P7,$P$7:$P$20),RANK(P7,$P$7:$P$20)+U7/100)</f>
        <v>1.01</v>
      </c>
    </row>
    <row r="8" spans="2:22" ht="16" customHeight="1" x14ac:dyDescent="0.35">
      <c r="B8" s="95" t="s">
        <v>134</v>
      </c>
      <c r="C8" s="94"/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9">
        <f t="shared" ref="P8:P20" si="2">SUM(D8:O8)</f>
        <v>0</v>
      </c>
      <c r="T8" s="136">
        <f t="shared" si="0"/>
        <v>11</v>
      </c>
      <c r="U8" s="136">
        <f>IF(T8&gt;1,COUNTIF($P$7:P8,P8),0)</f>
        <v>1</v>
      </c>
      <c r="V8" s="136">
        <f t="shared" si="1"/>
        <v>4.01</v>
      </c>
    </row>
    <row r="9" spans="2:22" ht="16" customHeight="1" x14ac:dyDescent="0.35">
      <c r="B9" s="95" t="s">
        <v>135</v>
      </c>
      <c r="C9" s="94" t="s">
        <v>141</v>
      </c>
      <c r="D9" s="96"/>
      <c r="E9" s="97"/>
      <c r="F9" s="97"/>
      <c r="G9" s="97"/>
      <c r="H9" s="97">
        <v>150</v>
      </c>
      <c r="I9" s="97"/>
      <c r="J9" s="97"/>
      <c r="K9" s="97"/>
      <c r="L9" s="97"/>
      <c r="M9" s="97"/>
      <c r="N9" s="97"/>
      <c r="O9" s="98"/>
      <c r="P9" s="99">
        <f t="shared" si="2"/>
        <v>150</v>
      </c>
      <c r="T9" s="136">
        <f t="shared" si="0"/>
        <v>1</v>
      </c>
      <c r="U9" s="136">
        <f>IF(T9&gt;1,COUNTIF($P$7:P9,P9),0)</f>
        <v>0</v>
      </c>
      <c r="V9" s="136">
        <f t="shared" si="1"/>
        <v>3</v>
      </c>
    </row>
    <row r="10" spans="2:22" ht="16" customHeight="1" x14ac:dyDescent="0.35">
      <c r="B10" s="95" t="s">
        <v>136</v>
      </c>
      <c r="C10" s="94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9">
        <f t="shared" si="2"/>
        <v>0</v>
      </c>
      <c r="T10" s="136">
        <f t="shared" si="0"/>
        <v>11</v>
      </c>
      <c r="U10" s="136">
        <f>IF(T10&gt;1,COUNTIF($P$7:P10,P10),0)</f>
        <v>2</v>
      </c>
      <c r="V10" s="136">
        <f t="shared" si="1"/>
        <v>4.0199999999999996</v>
      </c>
    </row>
    <row r="11" spans="2:22" ht="16" customHeight="1" x14ac:dyDescent="0.35">
      <c r="B11" s="95" t="s">
        <v>137</v>
      </c>
      <c r="C11" s="94" t="s">
        <v>143</v>
      </c>
      <c r="D11" s="96">
        <v>100</v>
      </c>
      <c r="E11" s="96">
        <v>100</v>
      </c>
      <c r="F11" s="96">
        <v>100</v>
      </c>
      <c r="G11" s="96">
        <v>100</v>
      </c>
      <c r="H11" s="96">
        <v>100</v>
      </c>
      <c r="I11" s="96">
        <v>100</v>
      </c>
      <c r="J11" s="96">
        <v>100</v>
      </c>
      <c r="K11" s="96">
        <v>100</v>
      </c>
      <c r="L11" s="96">
        <v>100</v>
      </c>
      <c r="M11" s="96">
        <v>100</v>
      </c>
      <c r="N11" s="96">
        <v>100</v>
      </c>
      <c r="O11" s="98">
        <v>200</v>
      </c>
      <c r="P11" s="99">
        <f t="shared" si="2"/>
        <v>1300</v>
      </c>
      <c r="T11" s="136">
        <f t="shared" si="0"/>
        <v>2</v>
      </c>
      <c r="U11" s="136">
        <f>IF(T11&gt;1,COUNTIF($P$7:P11,P11),0)</f>
        <v>2</v>
      </c>
      <c r="V11" s="136">
        <f t="shared" si="1"/>
        <v>1.02</v>
      </c>
    </row>
    <row r="12" spans="2:22" ht="16" customHeight="1" x14ac:dyDescent="0.35">
      <c r="B12" s="95" t="s">
        <v>138</v>
      </c>
      <c r="C12" s="94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9">
        <f t="shared" si="2"/>
        <v>0</v>
      </c>
      <c r="T12" s="136">
        <f t="shared" si="0"/>
        <v>11</v>
      </c>
      <c r="U12" s="136">
        <f>IF(T12&gt;1,COUNTIF($P$7:P12,P12),0)</f>
        <v>3</v>
      </c>
      <c r="V12" s="136">
        <f t="shared" si="1"/>
        <v>4.03</v>
      </c>
    </row>
    <row r="13" spans="2:22" ht="16" customHeight="1" x14ac:dyDescent="0.35">
      <c r="B13" s="95" t="s">
        <v>139</v>
      </c>
      <c r="C13" s="94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99">
        <f t="shared" si="2"/>
        <v>0</v>
      </c>
      <c r="T13" s="136">
        <f t="shared" si="0"/>
        <v>11</v>
      </c>
      <c r="U13" s="136">
        <f>IF(T13&gt;1,COUNTIF($P$7:P13,P13),0)</f>
        <v>4</v>
      </c>
      <c r="V13" s="136">
        <f t="shared" si="1"/>
        <v>4.04</v>
      </c>
    </row>
    <row r="14" spans="2:22" ht="16" customHeight="1" x14ac:dyDescent="0.35">
      <c r="B14" s="95" t="s">
        <v>140</v>
      </c>
      <c r="C14" s="94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P14" s="99">
        <f t="shared" si="2"/>
        <v>0</v>
      </c>
      <c r="T14" s="136">
        <f t="shared" si="0"/>
        <v>11</v>
      </c>
      <c r="U14" s="136">
        <f>IF(T14&gt;1,COUNTIF($P$7:P14,P14),0)</f>
        <v>5</v>
      </c>
      <c r="V14" s="136">
        <f t="shared" si="1"/>
        <v>4.05</v>
      </c>
    </row>
    <row r="15" spans="2:22" ht="16" customHeight="1" x14ac:dyDescent="0.35">
      <c r="B15" s="95" t="s">
        <v>131</v>
      </c>
      <c r="C15" s="94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9">
        <f t="shared" si="2"/>
        <v>0</v>
      </c>
      <c r="T15" s="136">
        <f t="shared" si="0"/>
        <v>11</v>
      </c>
      <c r="U15" s="136">
        <f>IF(T15&gt;1,COUNTIF($P$7:P15,P15),0)</f>
        <v>6</v>
      </c>
      <c r="V15" s="136">
        <f t="shared" si="1"/>
        <v>4.0599999999999996</v>
      </c>
    </row>
    <row r="16" spans="2:22" ht="16" customHeight="1" x14ac:dyDescent="0.35">
      <c r="B16" s="95" t="s">
        <v>132</v>
      </c>
      <c r="C16" s="94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99">
        <f t="shared" si="2"/>
        <v>0</v>
      </c>
      <c r="T16" s="136">
        <f t="shared" si="0"/>
        <v>11</v>
      </c>
      <c r="U16" s="136">
        <f>IF(T16&gt;1,COUNTIF($P$7:P16,P16),0)</f>
        <v>7</v>
      </c>
      <c r="V16" s="136">
        <f t="shared" si="1"/>
        <v>4.07</v>
      </c>
    </row>
    <row r="17" spans="2:22" ht="16" customHeight="1" x14ac:dyDescent="0.35">
      <c r="B17" s="95"/>
      <c r="C17" s="94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9">
        <f t="shared" si="2"/>
        <v>0</v>
      </c>
      <c r="T17" s="136">
        <f t="shared" si="0"/>
        <v>11</v>
      </c>
      <c r="U17" s="136">
        <f>IF(T17&gt;1,COUNTIF($P$7:P17,P17),0)</f>
        <v>8</v>
      </c>
      <c r="V17" s="136">
        <f t="shared" si="1"/>
        <v>4.08</v>
      </c>
    </row>
    <row r="18" spans="2:22" ht="16" customHeight="1" x14ac:dyDescent="0.35">
      <c r="B18" s="95"/>
      <c r="C18" s="9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99">
        <f t="shared" si="2"/>
        <v>0</v>
      </c>
      <c r="T18" s="136">
        <f t="shared" si="0"/>
        <v>11</v>
      </c>
      <c r="U18" s="136">
        <f>IF(T18&gt;1,COUNTIF($P$7:P18,P18),0)</f>
        <v>9</v>
      </c>
      <c r="V18" s="136">
        <f t="shared" si="1"/>
        <v>4.09</v>
      </c>
    </row>
    <row r="19" spans="2:22" ht="16" customHeight="1" x14ac:dyDescent="0.35">
      <c r="B19" s="95"/>
      <c r="C19" s="9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9">
        <f t="shared" si="2"/>
        <v>0</v>
      </c>
      <c r="S19" s="72" t="s">
        <v>98</v>
      </c>
      <c r="T19" s="136">
        <f t="shared" si="0"/>
        <v>11</v>
      </c>
      <c r="U19" s="136">
        <f>IF(T19&gt;1,COUNTIF($P$7:P19,P19),0)</f>
        <v>10</v>
      </c>
      <c r="V19" s="136">
        <f t="shared" si="1"/>
        <v>4.0999999999999996</v>
      </c>
    </row>
    <row r="20" spans="2:22" ht="16" customHeight="1" x14ac:dyDescent="0.35">
      <c r="B20" s="95"/>
      <c r="C20" s="94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9">
        <f t="shared" si="2"/>
        <v>0</v>
      </c>
      <c r="T20" s="136">
        <f t="shared" si="0"/>
        <v>11</v>
      </c>
      <c r="U20" s="136">
        <f>IF(T20&gt;1,COUNTIF($P$7:P20,P20),0)</f>
        <v>11</v>
      </c>
      <c r="V20" s="136">
        <f t="shared" si="1"/>
        <v>4.1100000000000003</v>
      </c>
    </row>
    <row r="21" spans="2:22" ht="21" customHeight="1" x14ac:dyDescent="0.35">
      <c r="C21" s="109" t="s">
        <v>55</v>
      </c>
      <c r="D21" s="117">
        <f t="shared" ref="D21:O21" si="3">IF(SUM(D7:D20)=0,NA(),SUM(D7:D20))</f>
        <v>200</v>
      </c>
      <c r="E21" s="117">
        <f t="shared" si="3"/>
        <v>200</v>
      </c>
      <c r="F21" s="117">
        <f t="shared" si="3"/>
        <v>200</v>
      </c>
      <c r="G21" s="117">
        <f t="shared" si="3"/>
        <v>200</v>
      </c>
      <c r="H21" s="117">
        <f t="shared" si="3"/>
        <v>350</v>
      </c>
      <c r="I21" s="117">
        <f t="shared" si="3"/>
        <v>200</v>
      </c>
      <c r="J21" s="117">
        <f t="shared" si="3"/>
        <v>200</v>
      </c>
      <c r="K21" s="117">
        <f t="shared" si="3"/>
        <v>200</v>
      </c>
      <c r="L21" s="117">
        <f t="shared" si="3"/>
        <v>200</v>
      </c>
      <c r="M21" s="117">
        <f t="shared" si="3"/>
        <v>200</v>
      </c>
      <c r="N21" s="117">
        <f t="shared" si="3"/>
        <v>200</v>
      </c>
      <c r="O21" s="117">
        <f t="shared" si="3"/>
        <v>400</v>
      </c>
      <c r="P21" s="110">
        <f>SUM(P7:P20)</f>
        <v>2750</v>
      </c>
    </row>
    <row r="28" spans="2:22" x14ac:dyDescent="0.35">
      <c r="H28" s="76"/>
    </row>
  </sheetData>
  <sheetProtection algorithmName="SHA-512" hashValue="8rWVJevU7/opZJJ9QmKMwB8+W5pQJiDNsZKiPyezKlLsfGaz2MzwjdTCt1iOy98eNNOBnOcSC0lUQxGPeuy8pA==" saltValue="9SXJPCCf8b3oOEXH54R7dg==" spinCount="100000" sheet="1" objects="1" scenarios="1"/>
  <protectedRanges>
    <protectedRange sqref="B7:O20" name="Range1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1E4D06-461E-4EDE-B2FE-478326A683B5}">
          <x14:formula1>
            <xm:f>SUPORTE!$H$47:$H$50</xm:f>
          </x14:formula1>
          <xm:sqref>C7:C20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theme="0"/>
  </sheetPr>
  <dimension ref="D1:T36"/>
  <sheetViews>
    <sheetView showGridLines="0" showRowColHeaders="0" topLeftCell="J1" zoomScaleNormal="100" workbookViewId="0">
      <pane ySplit="4" topLeftCell="A5" activePane="bottomLeft" state="frozen"/>
      <selection activeCell="I23" sqref="I23"/>
      <selection pane="bottomLeft"/>
    </sheetView>
  </sheetViews>
  <sheetFormatPr defaultColWidth="9.1796875" defaultRowHeight="14.5" x14ac:dyDescent="0.35"/>
  <cols>
    <col min="1" max="2" width="4.6328125" style="62" customWidth="1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5ipq+pr88O4QGVzgXEYr7NP+EvNJcsG1xKcaO1JXhVa3sEYNdV86xi0vuftvyOOyAm7PUyEdvQBjQ6tyzpevDg==" saltValue="eZZY8fcUmHQ8qFahUC/IV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8</xdr:col>
                    <xdr:colOff>508000</xdr:colOff>
                    <xdr:row>21</xdr:row>
                    <xdr:rowOff>25400</xdr:rowOff>
                  </from>
                  <to>
                    <xdr:col>11</xdr:col>
                    <xdr:colOff>107950</xdr:colOff>
                    <xdr:row>22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>
    <tabColor theme="0"/>
  </sheetPr>
  <dimension ref="D1:T36"/>
  <sheetViews>
    <sheetView showGridLines="0" showRowColHeaders="0" topLeftCell="C1" zoomScaleNormal="100" workbookViewId="0">
      <pane ySplit="4" topLeftCell="A5" activePane="bottomLeft" state="frozen"/>
      <selection activeCell="I23" sqref="I23"/>
      <selection pane="bottomLeft" activeCell="S6" sqref="S6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KHn1aqdPf5Iuntotxz5HJ8VlclTGxkimjSRIxx1t11ltb3AJV9lZHh8RA23Mrj3IMmKwivQK2lqG16PTApXJCg==" saltValue="bUDesitUc29Ke+XLPdano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3</xdr:col>
                    <xdr:colOff>50800</xdr:colOff>
                    <xdr:row>5</xdr:row>
                    <xdr:rowOff>69850</xdr:rowOff>
                  </from>
                  <to>
                    <xdr:col>4</xdr:col>
                    <xdr:colOff>508000</xdr:colOff>
                    <xdr:row>6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0"/>
  </sheetPr>
  <dimension ref="D1:T36"/>
  <sheetViews>
    <sheetView showGridLines="0" showRowColHeaders="0" zoomScaleNormal="100" workbookViewId="0">
      <pane ySplit="4" topLeftCell="A5" activePane="bottomLeft" state="frozen"/>
      <selection activeCell="I23" sqref="I23"/>
      <selection pane="bottomLeft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nn9ohBKRvwqGTr1Umm2EF24gLRRq4JLpYy0rkSP3HinFnrLdNrCzROF6Gb3oZNrGgVqHGRaOYYASDIAulbKouw==" saltValue="eY/8G4fgq7Ump5pTf9QYf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14</xdr:col>
                    <xdr:colOff>527050</xdr:colOff>
                    <xdr:row>26</xdr:row>
                    <xdr:rowOff>107950</xdr:rowOff>
                  </from>
                  <to>
                    <xdr:col>17</xdr:col>
                    <xdr:colOff>88900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Drop Down 3">
              <controlPr defaultSize="0" autoLine="0" autoPict="0">
                <anchor moveWithCells="1">
                  <from>
                    <xdr:col>14</xdr:col>
                    <xdr:colOff>381000</xdr:colOff>
                    <xdr:row>6</xdr:row>
                    <xdr:rowOff>50800</xdr:rowOff>
                  </from>
                  <to>
                    <xdr:col>17</xdr:col>
                    <xdr:colOff>336550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theme="0"/>
  </sheetPr>
  <dimension ref="D1:T36"/>
  <sheetViews>
    <sheetView showGridLines="0" showRowColHeaders="0" zoomScaleNormal="100" workbookViewId="0">
      <pane ySplit="4" topLeftCell="A5" activePane="bottomLeft" state="frozen"/>
      <selection activeCell="I23" sqref="I23"/>
      <selection pane="bottomLeft" activeCell="S6" sqref="S6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kB7iFWxW3z+CJuP9vDbDbUk8jnAW+cQpWGV2nRV0ZN1ryGZH0nHlHWIzdBU0yYLN1kzzIX4KsAUoXcbaL+gFUA==" saltValue="z788LE3hfvhuwl7FEKSfu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Drop Down 2">
              <controlPr defaultSize="0" autoLine="0" autoPict="0">
                <anchor moveWithCells="1">
                  <from>
                    <xdr:col>14</xdr:col>
                    <xdr:colOff>609600</xdr:colOff>
                    <xdr:row>26</xdr:row>
                    <xdr:rowOff>31750</xdr:rowOff>
                  </from>
                  <to>
                    <xdr:col>17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Drop Down 3">
              <controlPr defaultSize="0" autoLine="0" autoPict="0">
                <anchor moveWithCells="1">
                  <from>
                    <xdr:col>14</xdr:col>
                    <xdr:colOff>279400</xdr:colOff>
                    <xdr:row>6</xdr:row>
                    <xdr:rowOff>31750</xdr:rowOff>
                  </from>
                  <to>
                    <xdr:col>17</xdr:col>
                    <xdr:colOff>254000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theme="1"/>
  </sheetPr>
  <dimension ref="A3:V108"/>
  <sheetViews>
    <sheetView showGridLines="0" workbookViewId="0">
      <selection activeCell="I23" sqref="I23"/>
    </sheetView>
  </sheetViews>
  <sheetFormatPr defaultRowHeight="14.5" x14ac:dyDescent="0.35"/>
  <cols>
    <col min="2" max="2" width="12.54296875" style="2" customWidth="1"/>
    <col min="3" max="3" width="17.7265625" customWidth="1"/>
    <col min="4" max="15" width="10.7265625" customWidth="1"/>
    <col min="16" max="16" width="12.7265625" bestFit="1" customWidth="1"/>
    <col min="19" max="19" width="19.453125" customWidth="1"/>
  </cols>
  <sheetData>
    <row r="3" spans="1:22" x14ac:dyDescent="0.35">
      <c r="B3" s="36" t="s">
        <v>90</v>
      </c>
      <c r="C3" s="37">
        <f ca="1">YEAR(TODAY())</f>
        <v>2025</v>
      </c>
    </row>
    <row r="4" spans="1:22" x14ac:dyDescent="0.35">
      <c r="B4" s="36" t="s">
        <v>71</v>
      </c>
      <c r="C4" s="38">
        <f>meta_mes</f>
        <v>300</v>
      </c>
    </row>
    <row r="5" spans="1:22" x14ac:dyDescent="0.35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  <c r="N5">
        <v>11</v>
      </c>
      <c r="O5">
        <v>12</v>
      </c>
    </row>
    <row r="6" spans="1:22" ht="21" x14ac:dyDescent="0.35">
      <c r="D6" s="8" t="s">
        <v>58</v>
      </c>
      <c r="E6" s="8" t="s">
        <v>59</v>
      </c>
      <c r="F6" s="8" t="s">
        <v>60</v>
      </c>
      <c r="G6" s="8" t="s">
        <v>61</v>
      </c>
      <c r="H6" s="8" t="s">
        <v>62</v>
      </c>
      <c r="I6" s="8" t="s">
        <v>63</v>
      </c>
      <c r="J6" s="8" t="s">
        <v>64</v>
      </c>
      <c r="K6" s="8" t="s">
        <v>65</v>
      </c>
      <c r="L6" s="8" t="s">
        <v>66</v>
      </c>
      <c r="M6" s="8" t="s">
        <v>67</v>
      </c>
      <c r="N6" s="8" t="s">
        <v>68</v>
      </c>
      <c r="O6" s="8" t="s">
        <v>69</v>
      </c>
      <c r="P6" s="7" t="s">
        <v>75</v>
      </c>
    </row>
    <row r="7" spans="1:22" x14ac:dyDescent="0.35">
      <c r="C7" s="10" t="s">
        <v>56</v>
      </c>
      <c r="D7" s="5">
        <f>SUM(RECEITAS!D7:D24)-SUM(DESPESAS!D7:D51)-D10</f>
        <v>675</v>
      </c>
      <c r="E7" s="5">
        <f>SUM(RECEITAS!E7:E24)-SUM(DESPESAS!E7:E51)-E10</f>
        <v>355</v>
      </c>
      <c r="F7" s="5">
        <f>SUM(RECEITAS!F7:F24)-SUM(DESPESAS!F7:F51)-F10</f>
        <v>670</v>
      </c>
      <c r="G7" s="5">
        <f>SUM(RECEITAS!G7:G24)-SUM(DESPESAS!G7:G51)-G10</f>
        <v>240</v>
      </c>
      <c r="H7" s="5">
        <f>SUM(RECEITAS!H7:H24)-SUM(DESPESAS!H7:H51)-H10</f>
        <v>330</v>
      </c>
      <c r="I7" s="5">
        <f>SUM(RECEITAS!I7:I24)-SUM(DESPESAS!I7:I51)-I10</f>
        <v>785</v>
      </c>
      <c r="J7" s="5">
        <f>SUM(RECEITAS!J7:J24)-SUM(DESPESAS!J7:J51)-J10</f>
        <v>890</v>
      </c>
      <c r="K7" s="5">
        <f>SUM(RECEITAS!K7:K24)-SUM(DESPESAS!K7:K51)-K10</f>
        <v>746</v>
      </c>
      <c r="L7" s="5">
        <f>SUM(RECEITAS!L7:L24)-SUM(DESPESAS!L7:L51)-L10</f>
        <v>930</v>
      </c>
      <c r="M7" s="5">
        <f>SUM(RECEITAS!M7:M24)-SUM(DESPESAS!M7:M51)-M10</f>
        <v>1146</v>
      </c>
      <c r="N7" s="5">
        <f>SUM(RECEITAS!N7:N24)-SUM(DESPESAS!N7:N51)-N10</f>
        <v>2487</v>
      </c>
      <c r="O7" s="5">
        <f>SUM(RECEITAS!O7:O24)-SUM(DESPESAS!O7:O51)-O10</f>
        <v>2611</v>
      </c>
      <c r="P7" s="124">
        <f>SUM(D7:O7)</f>
        <v>11865</v>
      </c>
    </row>
    <row r="8" spans="1:22" x14ac:dyDescent="0.35">
      <c r="C8" s="10" t="s">
        <v>81</v>
      </c>
      <c r="D8" s="5">
        <f>SUM(RECEITAS!D7:D24)</f>
        <v>3450</v>
      </c>
      <c r="E8" s="5">
        <f>SUM(RECEITAS!E7:E24)</f>
        <v>3680</v>
      </c>
      <c r="F8" s="5">
        <f>SUM(RECEITAS!F7:F24)</f>
        <v>3450</v>
      </c>
      <c r="G8" s="5">
        <f>SUM(RECEITAS!G7:G24)</f>
        <v>3450</v>
      </c>
      <c r="H8" s="5">
        <f>SUM(RECEITAS!H7:H24)</f>
        <v>3600</v>
      </c>
      <c r="I8" s="5">
        <f>SUM(RECEITAS!I7:I24)</f>
        <v>3950</v>
      </c>
      <c r="J8" s="5">
        <f>SUM(RECEITAS!J7:J24)</f>
        <v>3450</v>
      </c>
      <c r="K8" s="5">
        <f>SUM(RECEITAS!K7:K24)</f>
        <v>3450</v>
      </c>
      <c r="L8" s="5">
        <f>SUM(RECEITAS!L7:L24)</f>
        <v>3650</v>
      </c>
      <c r="M8" s="5">
        <f>SUM(RECEITAS!M7:M24)</f>
        <v>3770</v>
      </c>
      <c r="N8" s="5">
        <f>SUM(RECEITAS!N7:N24)</f>
        <v>5280</v>
      </c>
      <c r="O8" s="5">
        <f>SUM(RECEITAS!O7:O24)</f>
        <v>5280</v>
      </c>
      <c r="P8" s="5"/>
    </row>
    <row r="9" spans="1:22" x14ac:dyDescent="0.35">
      <c r="C9" s="10" t="s">
        <v>82</v>
      </c>
      <c r="D9" s="5">
        <f>SUM(DESPESAS!D7:D51)</f>
        <v>2575</v>
      </c>
      <c r="E9" s="5">
        <f>SUM(DESPESAS!E7:E51)</f>
        <v>3125</v>
      </c>
      <c r="F9" s="5">
        <f>SUM(DESPESAS!F7:F51)</f>
        <v>2580</v>
      </c>
      <c r="G9" s="5">
        <f>SUM(DESPESAS!G7:G51)</f>
        <v>3010</v>
      </c>
      <c r="H9" s="5">
        <f>SUM(DESPESAS!H7:H51)</f>
        <v>2920</v>
      </c>
      <c r="I9" s="5">
        <f>SUM(DESPESAS!I7:I51)</f>
        <v>2965</v>
      </c>
      <c r="J9" s="5">
        <f>SUM(DESPESAS!J7:J51)</f>
        <v>2360</v>
      </c>
      <c r="K9" s="5">
        <f>SUM(DESPESAS!K7:K51)</f>
        <v>2504</v>
      </c>
      <c r="L9" s="5">
        <f>SUM(DESPESAS!L7:L51)</f>
        <v>2520</v>
      </c>
      <c r="M9" s="5">
        <f>SUM(DESPESAS!M7:M51)</f>
        <v>2424</v>
      </c>
      <c r="N9" s="5">
        <f>SUM(DESPESAS!N7:N51)</f>
        <v>2593</v>
      </c>
      <c r="O9" s="5">
        <f>SUM(DESPESAS!O7:O51)</f>
        <v>2269</v>
      </c>
      <c r="P9" s="5"/>
    </row>
    <row r="10" spans="1:22" x14ac:dyDescent="0.35">
      <c r="C10" s="10" t="s">
        <v>145</v>
      </c>
      <c r="D10" s="5">
        <f>SUM(INVESTIMENTOS!D7:D20)</f>
        <v>200</v>
      </c>
      <c r="E10" s="5">
        <f>SUM(INVESTIMENTOS!E7:E20)</f>
        <v>200</v>
      </c>
      <c r="F10" s="5">
        <f>SUM(INVESTIMENTOS!F7:F20)</f>
        <v>200</v>
      </c>
      <c r="G10" s="5">
        <f>SUM(INVESTIMENTOS!G7:G20)</f>
        <v>200</v>
      </c>
      <c r="H10" s="5">
        <f>SUM(INVESTIMENTOS!H7:H20)</f>
        <v>350</v>
      </c>
      <c r="I10" s="5">
        <f>SUM(INVESTIMENTOS!I7:I20)</f>
        <v>200</v>
      </c>
      <c r="J10" s="5">
        <f>SUM(INVESTIMENTOS!J7:J20)</f>
        <v>200</v>
      </c>
      <c r="K10" s="5">
        <f>SUM(INVESTIMENTOS!K7:K20)</f>
        <v>200</v>
      </c>
      <c r="L10" s="5">
        <f>SUM(INVESTIMENTOS!L7:L20)</f>
        <v>200</v>
      </c>
      <c r="M10" s="5">
        <f>SUM(INVESTIMENTOS!M7:M20)</f>
        <v>200</v>
      </c>
      <c r="N10" s="5">
        <f>SUM(INVESTIMENTOS!N7:N20)</f>
        <v>200</v>
      </c>
      <c r="O10" s="5">
        <f>SUM(INVESTIMENTOS!O7:O20)</f>
        <v>400</v>
      </c>
      <c r="P10" s="124">
        <f>SUM(D10:O10)</f>
        <v>2750</v>
      </c>
    </row>
    <row r="11" spans="1:22" x14ac:dyDescent="0.35"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  <c r="M11" s="6" t="s">
        <v>10</v>
      </c>
      <c r="N11" s="6" t="s">
        <v>11</v>
      </c>
      <c r="O11" s="6" t="s">
        <v>12</v>
      </c>
    </row>
    <row r="12" spans="1:22" x14ac:dyDescent="0.35"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62</v>
      </c>
      <c r="I12" s="4" t="s">
        <v>63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4" t="s">
        <v>69</v>
      </c>
    </row>
    <row r="13" spans="1:22" x14ac:dyDescent="0.35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1:22" ht="15" customHeight="1" x14ac:dyDescent="0.35">
      <c r="A15" s="19"/>
      <c r="B15" s="20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6" t="s">
        <v>93</v>
      </c>
    </row>
    <row r="16" spans="1:22" x14ac:dyDescent="0.35">
      <c r="A16" s="21"/>
      <c r="B16" s="29" t="s">
        <v>57</v>
      </c>
      <c r="C16" s="30"/>
      <c r="D16" s="29" t="str">
        <f ca="1">HLOOKUP(MONTH(TODAY()),D5:O6,2,0)</f>
        <v>AGOSTO</v>
      </c>
      <c r="E16" s="29" t="s">
        <v>91</v>
      </c>
      <c r="F16" s="29" t="s">
        <v>94</v>
      </c>
      <c r="G16" s="23" t="s">
        <v>85</v>
      </c>
      <c r="H16" s="23">
        <v>7</v>
      </c>
      <c r="I16" s="23" t="str">
        <f ca="1">IF(H16=13,IF(MONTH(TODAY())=1,HLOOKUP(1,$D$5:$O$6,2,0),HLOOKUP(MONTH(TODAY())-1,D5:O6,2,0)),HLOOKUP(H16,$D$5:$O$6,2,0))</f>
        <v>JULHO</v>
      </c>
      <c r="J16" s="2"/>
      <c r="K16" s="15" t="s">
        <v>87</v>
      </c>
      <c r="L16" s="2"/>
      <c r="M16" s="2"/>
      <c r="N16" s="61" t="str">
        <f ca="1">"EM RELAÇÃO À "&amp;I16</f>
        <v>EM RELAÇÃO À JULHO</v>
      </c>
      <c r="O16" s="2"/>
      <c r="P16" s="2"/>
      <c r="S16" s="3">
        <f ca="1">IF(D21&gt;meta_mes,1,0)</f>
        <v>0</v>
      </c>
      <c r="V16" s="127"/>
    </row>
    <row r="17" spans="1:22" x14ac:dyDescent="0.35">
      <c r="A17" s="21"/>
      <c r="B17" s="29" t="s">
        <v>72</v>
      </c>
      <c r="C17" s="30"/>
      <c r="D17" s="35">
        <f ca="1">HLOOKUP(D16,D6:O7,2,0)</f>
        <v>746</v>
      </c>
      <c r="E17" s="32">
        <f ca="1">IF(D21/C4&gt;1,1,IF(D21/C4&lt;0,0,D21/C4))</f>
        <v>0.66666666666666663</v>
      </c>
      <c r="F17" s="33">
        <f ca="1">D21/C4</f>
        <v>0.66666666666666663</v>
      </c>
      <c r="G17" s="23" t="s">
        <v>86</v>
      </c>
      <c r="H17" s="23"/>
      <c r="I17" s="34">
        <f ca="1">IF(H16=13,IF(MONTH(TODAY())=1,HLOOKUP(1,$D$5:$O$7,3,0),HLOOKUP(MONTH(TODAY())-1,D5:O7,3,0)),HLOOKUP(H16,$D$5:$O$7,3,0))</f>
        <v>890</v>
      </c>
      <c r="J17" s="2"/>
      <c r="K17" s="16">
        <f ca="1">D17-I17</f>
        <v>-144</v>
      </c>
      <c r="L17" s="2"/>
      <c r="M17" s="2"/>
      <c r="N17" s="2"/>
      <c r="O17" s="2"/>
      <c r="P17" s="2"/>
      <c r="S17" s="121" t="str">
        <f ca="1">IF(S16=1,"META ATINGIDA!","META NÃO ATINGIDA!")</f>
        <v>META NÃO ATINGIDA!</v>
      </c>
      <c r="V17" s="127"/>
    </row>
    <row r="18" spans="1:22" x14ac:dyDescent="0.35">
      <c r="A18" s="21"/>
      <c r="B18" s="29" t="s">
        <v>70</v>
      </c>
      <c r="C18" s="30"/>
      <c r="D18" s="31">
        <f ca="1">C4-D21</f>
        <v>100</v>
      </c>
      <c r="E18" s="32">
        <f ca="1">1-E17</f>
        <v>0.33333333333333337</v>
      </c>
      <c r="F18" s="29"/>
      <c r="G18" s="23"/>
      <c r="H18" s="23"/>
      <c r="I18" s="23"/>
      <c r="J18" s="2"/>
      <c r="K18" s="2"/>
      <c r="L18" s="2"/>
      <c r="M18" s="2"/>
      <c r="N18" s="2"/>
      <c r="O18" s="2"/>
      <c r="P18" s="2"/>
      <c r="V18" s="127"/>
    </row>
    <row r="19" spans="1:22" x14ac:dyDescent="0.35">
      <c r="A19" s="21"/>
      <c r="B19" s="29" t="s">
        <v>83</v>
      </c>
      <c r="C19" s="30"/>
      <c r="D19" s="31">
        <f ca="1">HLOOKUP(D16,D6:O9,3,0)</f>
        <v>3450</v>
      </c>
      <c r="E19" s="32"/>
      <c r="F19" s="29"/>
      <c r="G19" s="23" t="s">
        <v>83</v>
      </c>
      <c r="H19" s="23"/>
      <c r="I19" s="34">
        <f ca="1">IF(H16=13,IF(MONTH(TODAY())=1,HLOOKUP(1,$D$5:$O$8,4,0),HLOOKUP(MONTH(TODAY())-1,D5:O8,4,0)),HLOOKUP(H16,$D$5:$O$8,4,0))</f>
        <v>3450</v>
      </c>
      <c r="J19" s="2"/>
      <c r="K19" s="16">
        <f ca="1">D19-I19</f>
        <v>0</v>
      </c>
      <c r="L19" s="2"/>
      <c r="M19" s="2"/>
      <c r="N19" s="24">
        <f ca="1">IF(I19=0,"-",IF(SUM(D7:O9)=0,"-",(D19-I19)/I19))</f>
        <v>0</v>
      </c>
      <c r="O19" s="25" t="str">
        <f ca="1">IF(I19=0,"",IF(K19&lt;0,P19,Q19))</f>
        <v>Û</v>
      </c>
      <c r="P19" s="26" t="s">
        <v>88</v>
      </c>
      <c r="Q19" s="17" t="s">
        <v>89</v>
      </c>
      <c r="V19" s="127"/>
    </row>
    <row r="20" spans="1:22" x14ac:dyDescent="0.35">
      <c r="A20" s="21"/>
      <c r="B20" s="29" t="s">
        <v>84</v>
      </c>
      <c r="C20" s="30"/>
      <c r="D20" s="31">
        <f ca="1">HLOOKUP(D16,D6:O9,4,0)</f>
        <v>2504</v>
      </c>
      <c r="E20" s="32"/>
      <c r="F20" s="29"/>
      <c r="G20" s="23" t="s">
        <v>84</v>
      </c>
      <c r="H20" s="23"/>
      <c r="I20" s="34">
        <f ca="1">IF(H16=13,IF(MONTH(TODAY())=1,HLOOKUP(1,$D$5:$O$9,5,0),HLOOKUP(MONTH(TODAY())-1,D5:O9,5,0)),HLOOKUP(H16,$D$5:$O$9,5,0))</f>
        <v>2360</v>
      </c>
      <c r="J20" s="2"/>
      <c r="K20" s="16">
        <f ca="1">D20-I20</f>
        <v>144</v>
      </c>
      <c r="L20" s="2"/>
      <c r="M20" s="2"/>
      <c r="N20" s="27">
        <f ca="1">IF(I20=0,"-",IF(SUM(D7:O9)=0,"-",(D20-I20)/I20))</f>
        <v>6.1016949152542375E-2</v>
      </c>
      <c r="O20" s="28" t="str">
        <f ca="1">IF(I20=0,"",IF(K20&lt;0,P19,Q19))</f>
        <v>Û</v>
      </c>
      <c r="P20" s="26"/>
      <c r="Q20" s="17"/>
      <c r="V20" s="127"/>
    </row>
    <row r="21" spans="1:22" x14ac:dyDescent="0.35">
      <c r="A21" s="21"/>
      <c r="B21" s="29" t="s">
        <v>144</v>
      </c>
      <c r="C21" s="30"/>
      <c r="D21" s="31">
        <f ca="1">HLOOKUP(D16,D6:O10,5,0)</f>
        <v>200</v>
      </c>
      <c r="E21" s="32"/>
      <c r="F21" s="29"/>
      <c r="G21" s="23"/>
      <c r="H21" s="23"/>
      <c r="I21" s="34"/>
      <c r="J21" s="2"/>
      <c r="K21" s="16"/>
      <c r="L21" s="2"/>
      <c r="M21" s="2"/>
      <c r="N21" s="27"/>
      <c r="O21" s="28"/>
      <c r="P21" s="26"/>
      <c r="Q21" s="17"/>
      <c r="V21" s="127"/>
    </row>
    <row r="22" spans="1:22" x14ac:dyDescent="0.35">
      <c r="A22" s="21"/>
      <c r="D22" s="1"/>
      <c r="E22" s="41"/>
      <c r="F22" s="2"/>
      <c r="G22" s="2"/>
      <c r="H22" s="2"/>
      <c r="I22" s="1"/>
      <c r="J22" s="2"/>
      <c r="K22" s="16"/>
      <c r="L22" s="2"/>
      <c r="M22" s="2"/>
      <c r="N22" s="42"/>
      <c r="O22" s="28"/>
      <c r="P22" s="26"/>
      <c r="Q22" s="17"/>
      <c r="V22" s="127"/>
    </row>
    <row r="23" spans="1:22" x14ac:dyDescent="0.35">
      <c r="A23" s="21"/>
      <c r="B23" s="2" t="s">
        <v>74</v>
      </c>
      <c r="C23" s="16">
        <f t="array" ref="C23">MIN(IF($D$7:$O$7&lt;&gt;0,$D$7:$O$7))</f>
        <v>240</v>
      </c>
      <c r="D23" s="43" t="str">
        <f>IF(SUM(D7:O9)=0,"-",HLOOKUP(C23,D7:O12,6,0))</f>
        <v>ABRIL</v>
      </c>
      <c r="E23" s="41"/>
      <c r="F23" s="2" t="s">
        <v>96</v>
      </c>
      <c r="G23" s="2"/>
      <c r="H23" s="2">
        <f>COUNTIF(D10:O10,"&gt;"&amp;meta_mes)</f>
        <v>2</v>
      </c>
      <c r="I23" s="1"/>
      <c r="J23" s="2"/>
      <c r="K23" s="16"/>
      <c r="L23" s="2"/>
      <c r="M23" s="2"/>
      <c r="N23" s="42"/>
      <c r="O23" s="28"/>
      <c r="P23" s="26"/>
      <c r="Q23" s="17"/>
      <c r="V23" s="127"/>
    </row>
    <row r="24" spans="1:22" x14ac:dyDescent="0.35">
      <c r="A24" s="21"/>
      <c r="B24" s="2" t="s">
        <v>73</v>
      </c>
      <c r="C24" s="16">
        <f t="array" ref="C24">MAX(IF(,$D$7:$O$7&lt;&gt;0,$D$7:$O$7))</f>
        <v>2611</v>
      </c>
      <c r="D24" s="43" t="str">
        <f>IF(SUM(D7:O9)=0,"-",HLOOKUP(C24,D7:O12,6,0))</f>
        <v>DEZEMBRO</v>
      </c>
      <c r="V24" s="127"/>
    </row>
    <row r="25" spans="1:22" x14ac:dyDescent="0.35">
      <c r="A25" s="22"/>
      <c r="B25" s="18"/>
      <c r="C25" s="1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4"/>
      <c r="Q25" s="14"/>
      <c r="R25" s="14"/>
      <c r="S25" s="14"/>
      <c r="T25" s="14"/>
      <c r="U25" s="14"/>
      <c r="V25" s="128"/>
    </row>
    <row r="26" spans="1:22" ht="15" customHeight="1" x14ac:dyDescent="0.35">
      <c r="V26" s="133" t="s">
        <v>97</v>
      </c>
    </row>
    <row r="27" spans="1:22" x14ac:dyDescent="0.35">
      <c r="B27" s="2" t="s">
        <v>77</v>
      </c>
      <c r="C27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V27" s="134"/>
    </row>
    <row r="28" spans="1:22" x14ac:dyDescent="0.35">
      <c r="B28" s="10" t="s">
        <v>145</v>
      </c>
      <c r="C28" s="5">
        <f>HLOOKUP(C27,D5:O10,6,0)</f>
        <v>200</v>
      </c>
      <c r="D28" s="2" t="s">
        <v>100</v>
      </c>
      <c r="E28" s="132" t="s">
        <v>99</v>
      </c>
      <c r="F28" s="132"/>
      <c r="G28" s="2" t="s">
        <v>102</v>
      </c>
      <c r="K28" s="2" t="s">
        <v>101</v>
      </c>
      <c r="L28" s="45"/>
      <c r="M28" s="2"/>
      <c r="N28" s="2"/>
      <c r="O28" s="2"/>
      <c r="P28" s="2"/>
      <c r="Q28" s="2"/>
      <c r="V28" s="134"/>
    </row>
    <row r="29" spans="1:22" x14ac:dyDescent="0.35">
      <c r="B29" s="10" t="s">
        <v>81</v>
      </c>
      <c r="C29" s="5">
        <f>HLOOKUP(C27,D5:O9,4,0)</f>
        <v>3450</v>
      </c>
      <c r="D29" s="46">
        <f ca="1">IF(G29&gt;1,RANK(F29,$F$29:$F$33)+COUNTIF($G$29:G29,G29)/10,RANK(F29,$F$29:$F$33))</f>
        <v>1</v>
      </c>
      <c r="E29" s="40" t="s">
        <v>14</v>
      </c>
      <c r="F29" s="45">
        <f ca="1">SUMIF(RECEITAS!$C$7:$C$24,E29,OFFSET(RECEITAS!D$7:D$24,0,MATCH((HLOOKUP($C$27,$D$5:$O$11,7,0)),RECEITAS!$D$6:$O$6,0)-1))</f>
        <v>3450</v>
      </c>
      <c r="G29" s="2">
        <f ca="1">COUNTIF($F$29:$F$33,F29)</f>
        <v>1</v>
      </c>
      <c r="J29" s="2">
        <v>1</v>
      </c>
      <c r="K29">
        <f ca="1">SMALL($D$29:$D$33,J29)</f>
        <v>1</v>
      </c>
      <c r="L29" s="2" t="str">
        <f ca="1">VLOOKUP(K29,$D$29:$F$33,2,0)</f>
        <v>SALÁRIO</v>
      </c>
      <c r="M29" s="123">
        <f ca="1">VLOOKUP(K29,$D$29:$F$33,3,0)</f>
        <v>3450</v>
      </c>
      <c r="N29" s="47">
        <f ca="1">IF(SUM($F$29:$F$33)=0,"-",M29/SUM($F$29:$F$33))</f>
        <v>1</v>
      </c>
      <c r="O29" s="2"/>
      <c r="P29" s="2"/>
      <c r="Q29" s="2"/>
      <c r="V29" s="134"/>
    </row>
    <row r="30" spans="1:22" x14ac:dyDescent="0.35">
      <c r="B30" s="10" t="s">
        <v>82</v>
      </c>
      <c r="C30" s="5">
        <f>HLOOKUP(C27,D5:O9,5,0)</f>
        <v>2504</v>
      </c>
      <c r="D30" s="46">
        <f ca="1">IF(G30&gt;1,RANK(F30,$F$29:$F$33)+COUNTIF($G$29:G30,G30)/10,RANK(F30,$F$29:$F$33))</f>
        <v>2.1</v>
      </c>
      <c r="E30" s="40" t="s">
        <v>80</v>
      </c>
      <c r="F30" s="45">
        <f ca="1">SUMIF(RECEITAS!$C$7:$C$24,E30,OFFSET(RECEITAS!D$7:D$24,0,MATCH((HLOOKUP($C$27,$D$5:$O$11,7,0)),RECEITAS!$D$6:$O$6,0)-1))</f>
        <v>0</v>
      </c>
      <c r="G30" s="2">
        <f ca="1">COUNTIF($F$29:$F$33,F30)</f>
        <v>4</v>
      </c>
      <c r="J30" s="2">
        <v>2</v>
      </c>
      <c r="K30">
        <f ca="1">SMALL($D$29:$D$33,J30)</f>
        <v>2.1</v>
      </c>
      <c r="L30" s="2" t="str">
        <f ca="1">VLOOKUP(K30,$D$29:$F$33,2,0)</f>
        <v>IMÓVEIS</v>
      </c>
      <c r="M30" s="123">
        <f ca="1">VLOOKUP(K30,$D$29:$F$33,3,0)</f>
        <v>0</v>
      </c>
      <c r="N30" s="47">
        <f t="shared" ref="N30:N32" ca="1" si="0">IF(SUM($F$29:$F$33)=0,"-",M30/SUM($F$29:$F$33))</f>
        <v>0</v>
      </c>
      <c r="O30" s="2"/>
      <c r="P30" s="2"/>
      <c r="Q30" s="2"/>
      <c r="V30" s="134"/>
    </row>
    <row r="31" spans="1:22" x14ac:dyDescent="0.35">
      <c r="B31" s="10" t="s">
        <v>56</v>
      </c>
      <c r="C31" s="59">
        <f>HLOOKUP(C27,D5:O9,3,0)</f>
        <v>746</v>
      </c>
      <c r="D31" s="46">
        <f ca="1">IF(G31&gt;1,RANK(F31,$F$29:$F$33)+COUNTIF($G$29:G31,G31)/10,RANK(F31,$F$29:$F$33))</f>
        <v>2.2000000000000002</v>
      </c>
      <c r="E31" s="40" t="s">
        <v>79</v>
      </c>
      <c r="F31" s="45">
        <f ca="1">SUMIF(RECEITAS!$C$7:$C$24,E31,OFFSET(RECEITAS!D$7:D$24,0,MATCH((HLOOKUP($C$27,$D$5:$O$11,7,0)),RECEITAS!$D$6:$O$6,0)-1))</f>
        <v>0</v>
      </c>
      <c r="G31" s="2">
        <f ca="1">COUNTIF($F$29:$F$33,F31)</f>
        <v>4</v>
      </c>
      <c r="J31" s="2">
        <v>3</v>
      </c>
      <c r="K31">
        <f ca="1">SMALL($D$29:$D$33,J31)</f>
        <v>2.2000000000000002</v>
      </c>
      <c r="L31" s="2" t="str">
        <f ca="1">VLOOKUP(K31,$D$29:$F$33,2,0)</f>
        <v>RENDA EXTRA</v>
      </c>
      <c r="M31" s="123">
        <f ca="1">VLOOKUP(K31,$D$29:$F$33,3,0)</f>
        <v>0</v>
      </c>
      <c r="N31" s="47">
        <f t="shared" ca="1" si="0"/>
        <v>0</v>
      </c>
      <c r="O31" s="2"/>
      <c r="P31" s="2"/>
      <c r="Q31" s="2"/>
      <c r="V31" s="134"/>
    </row>
    <row r="32" spans="1:22" x14ac:dyDescent="0.35">
      <c r="A32" t="s">
        <v>104</v>
      </c>
      <c r="B32" s="48" t="s">
        <v>71</v>
      </c>
      <c r="C32" s="122" t="str">
        <f>IF(C28&gt;meta_mes,"META BATIDA!","")</f>
        <v/>
      </c>
      <c r="D32" s="46">
        <f ca="1">IF(G32&gt;1,RANK(F32,$F$29:$F$33)+COUNTIF($G$29:G32,G32)/10,RANK(F32,$F$29:$F$33))</f>
        <v>2.2999999999999998</v>
      </c>
      <c r="E32" s="40" t="s">
        <v>78</v>
      </c>
      <c r="F32" s="45">
        <f ca="1">SUMIF(RECEITAS!$C$7:$C$24,E32,OFFSET(RECEITAS!D$7:D$24,0,MATCH((HLOOKUP($C$27,$D$5:$O$11,7,0)),RECEITAS!$D$6:$O$6,0)-1))</f>
        <v>0</v>
      </c>
      <c r="G32" s="2">
        <f ca="1">COUNTIF($F$29:$F$33,F32)</f>
        <v>4</v>
      </c>
      <c r="I32" s="2"/>
      <c r="J32" s="2">
        <v>4</v>
      </c>
      <c r="K32" s="2"/>
      <c r="L32" s="2" t="s">
        <v>103</v>
      </c>
      <c r="M32" s="123">
        <f ca="1">SUM(F29:F33)-SUM(M29:M31)</f>
        <v>0</v>
      </c>
      <c r="N32" s="47">
        <f t="shared" ca="1" si="0"/>
        <v>0</v>
      </c>
      <c r="O32" s="2"/>
      <c r="P32" s="2"/>
      <c r="Q32" s="2"/>
      <c r="V32" s="134"/>
    </row>
    <row r="33" spans="1:22" x14ac:dyDescent="0.35">
      <c r="A33" t="s">
        <v>105</v>
      </c>
      <c r="B33" s="48" t="s">
        <v>71</v>
      </c>
      <c r="C33" s="120" t="str">
        <f>IF(C28&lt;meta_mes,"META NÃO BATIDA!","")</f>
        <v>META NÃO BATIDA!</v>
      </c>
      <c r="D33" s="46">
        <f ca="1">IF(G33&gt;1,RANK(F33,$F$29:$F$33)+COUNTIF($G$29:G33,G33)/10,RANK(F33,$F$29:$F$33))</f>
        <v>2.4</v>
      </c>
      <c r="E33" s="40" t="s">
        <v>54</v>
      </c>
      <c r="F33" s="45">
        <f ca="1">SUMIF(RECEITAS!$C$7:$C$24,E33,OFFSET(RECEITAS!D$7:D$24,0,MATCH((HLOOKUP($C$27,$D$5:$O$11,7,0)),RECEITAS!$D$6:$O$6,0)-1))</f>
        <v>0</v>
      </c>
      <c r="G33" s="2">
        <f ca="1">COUNTIF($F$29:$F$33,F33)</f>
        <v>4</v>
      </c>
      <c r="I33" s="2"/>
      <c r="J33" s="2"/>
      <c r="K33" s="2"/>
      <c r="L33" s="2"/>
      <c r="M33" s="50"/>
      <c r="N33" s="2"/>
      <c r="O33" s="2"/>
      <c r="P33" s="2"/>
      <c r="Q33" s="2"/>
      <c r="V33" s="134"/>
    </row>
    <row r="34" spans="1:22" x14ac:dyDescent="0.35">
      <c r="D34" s="2"/>
      <c r="E34" s="2"/>
      <c r="F34" s="45"/>
      <c r="G34" s="2"/>
      <c r="H34" s="2"/>
      <c r="I34" s="2"/>
      <c r="J34" s="2"/>
      <c r="K34" s="2"/>
      <c r="L34" s="2"/>
      <c r="M34" s="50"/>
      <c r="N34" s="2"/>
      <c r="O34" s="2"/>
      <c r="P34" s="2"/>
      <c r="Q34" s="2"/>
      <c r="V34" s="134"/>
    </row>
    <row r="35" spans="1:22" x14ac:dyDescent="0.35">
      <c r="D35" s="49">
        <f ca="1">IF(G35&gt;1,RANK(F35,$F$35:$F$42)+COUNTIF($G$35:G35,G35)/10,RANK(F35,$F$35:$F$42))</f>
        <v>1</v>
      </c>
      <c r="E35" s="40" t="s">
        <v>29</v>
      </c>
      <c r="F35" s="45">
        <f ca="1">SUMIF(DESPESAS!$C$7:$C$51,E35,OFFSET(DESPESAS!D$7:D$51,0,MATCH((HLOOKUP($C$27,$D$5:$O$11,7,0)),DESPESAS!$D$6:$O$6,0)-1))</f>
        <v>2165</v>
      </c>
      <c r="G35" s="2">
        <f ca="1">COUNTIF($F$35:$F$42,F35)</f>
        <v>1</v>
      </c>
      <c r="K35" s="2" t="s">
        <v>101</v>
      </c>
      <c r="L35" s="45"/>
      <c r="M35" s="50"/>
      <c r="N35" s="2"/>
      <c r="O35" s="2"/>
      <c r="P35" s="2"/>
      <c r="Q35" s="2"/>
      <c r="V35" s="134"/>
    </row>
    <row r="36" spans="1:22" x14ac:dyDescent="0.35">
      <c r="D36" s="49">
        <f ca="1">IF(G36&gt;1,RANK(F36,$F$35:$F$42)+COUNTIF($G$35:G36,G36)/10,RANK(F36,$F$35:$F$42))</f>
        <v>2</v>
      </c>
      <c r="E36" s="40" t="s">
        <v>30</v>
      </c>
      <c r="F36" s="45">
        <f ca="1">SUMIF(DESPESAS!$C$7:$C$51,E36,OFFSET(DESPESAS!D$7:D$51,0,MATCH((HLOOKUP($C$27,$D$5:$O$11,7,0)),DESPESAS!$D$6:$O$6,0)-1))</f>
        <v>339</v>
      </c>
      <c r="G36" s="2">
        <f t="shared" ref="G36:G42" ca="1" si="1">COUNTIF($F$35:$F$42,F36)</f>
        <v>1</v>
      </c>
      <c r="J36" s="2">
        <v>1</v>
      </c>
      <c r="K36">
        <f ca="1">SMALL($D$35:$D$42,J36)</f>
        <v>1</v>
      </c>
      <c r="L36" s="2" t="str">
        <f ca="1">VLOOKUP(K36,$D$35:$F$42,2,0)</f>
        <v>MORADIA</v>
      </c>
      <c r="M36" s="123">
        <f ca="1">VLOOKUP(K36,$D$35:$F$42,3,0)</f>
        <v>2165</v>
      </c>
      <c r="N36" s="47">
        <f ca="1">IF(SUM($F$35:$F$42)=0,"-",M36/SUM($F$35:$F$42))</f>
        <v>0.86461661341853036</v>
      </c>
      <c r="O36" s="2"/>
      <c r="P36" s="2"/>
      <c r="Q36" s="2"/>
      <c r="V36" s="134"/>
    </row>
    <row r="37" spans="1:22" x14ac:dyDescent="0.35">
      <c r="D37" s="49">
        <f ca="1">IF(G37&gt;1,RANK(F37,$F$35:$F$42)+COUNTIF($G$35:G37,G37)/10,RANK(F37,$F$35:$F$42))</f>
        <v>3.1</v>
      </c>
      <c r="E37" s="40" t="s">
        <v>34</v>
      </c>
      <c r="F37" s="45">
        <f ca="1">SUMIF(DESPESAS!$C$7:$C$51,E37,OFFSET(DESPESAS!D$7:D$51,0,MATCH((HLOOKUP($C$27,$D$5:$O$11,7,0)),DESPESAS!$D$6:$O$6,0)-1))</f>
        <v>0</v>
      </c>
      <c r="G37" s="2">
        <f t="shared" ca="1" si="1"/>
        <v>6</v>
      </c>
      <c r="J37" s="2">
        <v>2</v>
      </c>
      <c r="K37">
        <f t="shared" ref="K37:K39" ca="1" si="2">SMALL($D$35:$D$42,J37)</f>
        <v>2</v>
      </c>
      <c r="L37" s="2" t="str">
        <f t="shared" ref="L37:L38" ca="1" si="3">VLOOKUP(K37,$D$35:$F$42,2,0)</f>
        <v>TRANSPORTE</v>
      </c>
      <c r="M37" s="123">
        <f t="shared" ref="M37:M38" ca="1" si="4">VLOOKUP(K37,$D$35:$F$42,3,0)</f>
        <v>339</v>
      </c>
      <c r="N37" s="47">
        <f t="shared" ref="N37:N39" ca="1" si="5">IF(SUM($F$35:$F$42)=0,"-",M37/SUM($F$35:$F$42))</f>
        <v>0.13538338658146964</v>
      </c>
      <c r="O37" s="2"/>
      <c r="P37" s="2"/>
      <c r="Q37" s="2"/>
      <c r="V37" s="134"/>
    </row>
    <row r="38" spans="1:22" x14ac:dyDescent="0.35">
      <c r="D38" s="49">
        <f ca="1">IF(G38&gt;1,RANK(F38,$F$35:$F$42)+COUNTIF($G$35:G38,G38)/10,RANK(F38,$F$35:$F$42))</f>
        <v>3.2</v>
      </c>
      <c r="E38" s="40" t="s">
        <v>40</v>
      </c>
      <c r="F38" s="45">
        <f ca="1">SUMIF(DESPESAS!$C$7:$C$51,E38,OFFSET(DESPESAS!D$7:D$51,0,MATCH((HLOOKUP($C$27,$D$5:$O$11,7,0)),DESPESAS!$D$6:$O$6,0)-1))</f>
        <v>0</v>
      </c>
      <c r="G38" s="2">
        <f t="shared" ca="1" si="1"/>
        <v>6</v>
      </c>
      <c r="J38" s="2">
        <v>3</v>
      </c>
      <c r="K38">
        <f t="shared" ca="1" si="2"/>
        <v>3.1</v>
      </c>
      <c r="L38" s="2" t="str">
        <f t="shared" ca="1" si="3"/>
        <v>SAÚDE</v>
      </c>
      <c r="M38" s="123">
        <f t="shared" ca="1" si="4"/>
        <v>0</v>
      </c>
      <c r="N38" s="47">
        <f t="shared" ca="1" si="5"/>
        <v>0</v>
      </c>
      <c r="O38" s="2"/>
      <c r="P38" s="2"/>
      <c r="Q38" s="2"/>
      <c r="V38" s="134"/>
    </row>
    <row r="39" spans="1:22" x14ac:dyDescent="0.35">
      <c r="D39" s="49">
        <f ca="1">IF(G39&gt;1,RANK(F39,$F$35:$F$42)+COUNTIF($G$35:G39,G39)/10,RANK(F39,$F$35:$F$42))</f>
        <v>3.3</v>
      </c>
      <c r="E39" s="40" t="s">
        <v>39</v>
      </c>
      <c r="F39" s="45">
        <f ca="1">SUMIF(DESPESAS!$C$7:$C$51,E39,OFFSET(DESPESAS!D$7:D$51,0,MATCH((HLOOKUP($C$27,$D$5:$O$11,7,0)),DESPESAS!$D$6:$O$6,0)-1))</f>
        <v>0</v>
      </c>
      <c r="G39" s="2">
        <f t="shared" ca="1" si="1"/>
        <v>6</v>
      </c>
      <c r="H39" s="2"/>
      <c r="I39" s="2"/>
      <c r="J39" s="2">
        <v>4</v>
      </c>
      <c r="K39">
        <f t="shared" ca="1" si="2"/>
        <v>3.2</v>
      </c>
      <c r="L39" s="2" t="s">
        <v>103</v>
      </c>
      <c r="M39" s="123">
        <f ca="1">SUM(F35:F42)-SUM(M36:M38)</f>
        <v>0</v>
      </c>
      <c r="N39" s="47">
        <f t="shared" ca="1" si="5"/>
        <v>0</v>
      </c>
      <c r="O39" s="2"/>
      <c r="P39" s="2"/>
      <c r="Q39" s="2"/>
      <c r="V39" s="134"/>
    </row>
    <row r="40" spans="1:22" x14ac:dyDescent="0.35">
      <c r="D40" s="49">
        <f ca="1">IF(G40&gt;1,RANK(F40,$F$35:$F$42)+COUNTIF($G$35:G40,G40)/10,RANK(F40,$F$35:$F$42))</f>
        <v>3.4</v>
      </c>
      <c r="E40" s="40" t="s">
        <v>42</v>
      </c>
      <c r="F40" s="45">
        <f ca="1">SUMIF(DESPESAS!$C$7:$C$51,E40,OFFSET(DESPESAS!D$7:D$51,0,MATCH((HLOOKUP($C$27,$D$5:$O$11,7,0)),DESPESAS!$D$6:$O$6,0)-1))</f>
        <v>0</v>
      </c>
      <c r="G40" s="2">
        <f t="shared" ca="1" si="1"/>
        <v>6</v>
      </c>
      <c r="H40" s="2"/>
      <c r="I40" s="2"/>
      <c r="J40" s="2"/>
      <c r="K40" s="2"/>
      <c r="L40" s="2"/>
      <c r="M40" s="50"/>
      <c r="N40" s="2"/>
      <c r="O40" s="2"/>
      <c r="P40" s="2"/>
      <c r="Q40" s="2"/>
      <c r="V40" s="134"/>
    </row>
    <row r="41" spans="1:22" x14ac:dyDescent="0.35">
      <c r="D41" s="49">
        <f ca="1">IF(G41&gt;1,RANK(F41,$F$35:$F$42)+COUNTIF($G$35:G41,G41)/10,RANK(F41,$F$35:$F$42))</f>
        <v>3.5</v>
      </c>
      <c r="E41" s="40" t="s">
        <v>53</v>
      </c>
      <c r="F41" s="45">
        <f ca="1">SUMIF(DESPESAS!$C$7:$C$51,E41,OFFSET(DESPESAS!D$7:D$51,0,MATCH((HLOOKUP($C$27,$D$5:$O$11,7,0)),DESPESAS!$D$6:$O$6,0)-1))</f>
        <v>0</v>
      </c>
      <c r="G41" s="2">
        <f t="shared" ca="1" si="1"/>
        <v>6</v>
      </c>
      <c r="H41" s="1"/>
      <c r="I41" s="1"/>
      <c r="J41" s="1"/>
      <c r="K41" s="1"/>
      <c r="L41" s="1"/>
      <c r="M41" s="1"/>
      <c r="N41" s="1"/>
      <c r="O41" s="1"/>
      <c r="P41" s="2"/>
      <c r="Q41" s="2"/>
      <c r="V41" s="134"/>
    </row>
    <row r="42" spans="1:22" x14ac:dyDescent="0.35">
      <c r="D42" s="49">
        <f ca="1">IF(G42&gt;1,RANK(F42,$F$35:$F$42)+COUNTIF($G$35:G42,G42)/10,RANK(F42,$F$35:$F$42))</f>
        <v>3.6</v>
      </c>
      <c r="E42" s="40" t="s">
        <v>54</v>
      </c>
      <c r="F42" s="45">
        <f ca="1">SUMIF(DESPESAS!$C$7:$C$51,E42,OFFSET(DESPESAS!D$7:D$51,0,MATCH((HLOOKUP($C$27,$D$5:$O$11,7,0)),DESPESAS!$D$6:$O$6,0)-1))</f>
        <v>0</v>
      </c>
      <c r="G42" s="2">
        <f t="shared" ca="1" si="1"/>
        <v>6</v>
      </c>
      <c r="H42" s="1"/>
      <c r="I42" s="1"/>
      <c r="J42" s="1"/>
      <c r="K42" s="1"/>
      <c r="L42" s="1"/>
      <c r="M42" s="1"/>
      <c r="N42" s="1"/>
      <c r="O42" s="1"/>
      <c r="P42" s="2"/>
      <c r="Q42" s="2"/>
      <c r="V42" s="134"/>
    </row>
    <row r="43" spans="1:22" x14ac:dyDescent="0.3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V43" s="135"/>
    </row>
    <row r="44" spans="1:22" x14ac:dyDescent="0.35">
      <c r="A44" s="19"/>
      <c r="B44" s="2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9" t="s">
        <v>95</v>
      </c>
    </row>
    <row r="45" spans="1:22" x14ac:dyDescent="0.35">
      <c r="A45" s="21"/>
      <c r="B45" s="6" t="s">
        <v>93</v>
      </c>
      <c r="D45" s="6" t="s">
        <v>0</v>
      </c>
      <c r="F45" s="6" t="s">
        <v>13</v>
      </c>
      <c r="H45" s="6" t="s">
        <v>78</v>
      </c>
      <c r="V45" s="130"/>
    </row>
    <row r="46" spans="1:22" x14ac:dyDescent="0.35">
      <c r="A46" s="13"/>
      <c r="B46" s="39" t="s">
        <v>76</v>
      </c>
      <c r="C46" s="2"/>
      <c r="D46" s="39" t="s">
        <v>76</v>
      </c>
      <c r="E46" s="2"/>
      <c r="F46" s="39" t="s">
        <v>76</v>
      </c>
      <c r="H46" s="39" t="s">
        <v>76</v>
      </c>
      <c r="V46" s="130"/>
    </row>
    <row r="47" spans="1:22" x14ac:dyDescent="0.35">
      <c r="A47" s="13"/>
      <c r="B47" s="40" t="s">
        <v>58</v>
      </c>
      <c r="C47" s="2"/>
      <c r="D47" s="40" t="s">
        <v>29</v>
      </c>
      <c r="E47" s="2"/>
      <c r="F47" s="40" t="s">
        <v>14</v>
      </c>
      <c r="H47" s="40" t="s">
        <v>141</v>
      </c>
      <c r="V47" s="130"/>
    </row>
    <row r="48" spans="1:22" x14ac:dyDescent="0.35">
      <c r="A48" s="13"/>
      <c r="B48" s="40" t="s">
        <v>59</v>
      </c>
      <c r="C48" s="2"/>
      <c r="D48" s="40" t="s">
        <v>30</v>
      </c>
      <c r="E48" s="2"/>
      <c r="F48" s="40" t="s">
        <v>80</v>
      </c>
      <c r="H48" s="40" t="s">
        <v>142</v>
      </c>
      <c r="V48" s="130"/>
    </row>
    <row r="49" spans="1:22" x14ac:dyDescent="0.35">
      <c r="A49" s="13"/>
      <c r="B49" s="40" t="s">
        <v>60</v>
      </c>
      <c r="C49" s="2"/>
      <c r="D49" s="40" t="s">
        <v>34</v>
      </c>
      <c r="E49" s="2"/>
      <c r="F49" s="40" t="s">
        <v>79</v>
      </c>
      <c r="H49" s="40" t="s">
        <v>138</v>
      </c>
      <c r="V49" s="130"/>
    </row>
    <row r="50" spans="1:22" x14ac:dyDescent="0.35">
      <c r="A50" s="13"/>
      <c r="B50" s="40" t="s">
        <v>61</v>
      </c>
      <c r="C50" s="2"/>
      <c r="D50" s="40" t="s">
        <v>40</v>
      </c>
      <c r="E50" s="2"/>
      <c r="F50" s="40" t="s">
        <v>78</v>
      </c>
      <c r="H50" s="40" t="s">
        <v>143</v>
      </c>
      <c r="V50" s="130"/>
    </row>
    <row r="51" spans="1:22" x14ac:dyDescent="0.35">
      <c r="A51" s="13"/>
      <c r="B51" s="40" t="s">
        <v>62</v>
      </c>
      <c r="C51" s="2"/>
      <c r="D51" s="40" t="s">
        <v>39</v>
      </c>
      <c r="E51" s="2"/>
      <c r="F51" s="40" t="s">
        <v>54</v>
      </c>
      <c r="V51" s="130"/>
    </row>
    <row r="52" spans="1:22" x14ac:dyDescent="0.35">
      <c r="A52" s="13"/>
      <c r="B52" s="40" t="s">
        <v>63</v>
      </c>
      <c r="C52" s="2"/>
      <c r="D52" s="40" t="s">
        <v>42</v>
      </c>
      <c r="E52" s="2"/>
      <c r="V52" s="130"/>
    </row>
    <row r="53" spans="1:22" x14ac:dyDescent="0.35">
      <c r="A53" s="13"/>
      <c r="B53" s="40" t="s">
        <v>64</v>
      </c>
      <c r="C53" s="2"/>
      <c r="D53" s="40" t="s">
        <v>53</v>
      </c>
      <c r="E53" s="2"/>
      <c r="V53" s="130"/>
    </row>
    <row r="54" spans="1:22" x14ac:dyDescent="0.35">
      <c r="A54" s="13"/>
      <c r="B54" s="40" t="s">
        <v>65</v>
      </c>
      <c r="C54" s="2"/>
      <c r="D54" s="40" t="s">
        <v>54</v>
      </c>
      <c r="E54" s="2"/>
      <c r="V54" s="130"/>
    </row>
    <row r="55" spans="1:22" x14ac:dyDescent="0.35">
      <c r="A55" s="13"/>
      <c r="B55" s="40" t="s">
        <v>66</v>
      </c>
      <c r="C55" s="2"/>
      <c r="D55" s="2"/>
      <c r="E55" s="2"/>
      <c r="V55" s="130"/>
    </row>
    <row r="56" spans="1:22" x14ac:dyDescent="0.35">
      <c r="A56" s="13"/>
      <c r="B56" s="40" t="s">
        <v>67</v>
      </c>
      <c r="C56" s="2"/>
      <c r="D56" s="2"/>
      <c r="E56" s="2"/>
      <c r="V56" s="130"/>
    </row>
    <row r="57" spans="1:22" x14ac:dyDescent="0.35">
      <c r="A57" s="13"/>
      <c r="B57" s="40" t="s">
        <v>68</v>
      </c>
      <c r="C57" s="2"/>
      <c r="D57" s="2"/>
      <c r="E57" s="2"/>
      <c r="V57" s="130"/>
    </row>
    <row r="58" spans="1:22" x14ac:dyDescent="0.35">
      <c r="A58" s="13"/>
      <c r="B58" s="40" t="s">
        <v>69</v>
      </c>
      <c r="C58" s="2"/>
      <c r="D58" s="2"/>
      <c r="E58" s="2"/>
      <c r="V58" s="130"/>
    </row>
    <row r="59" spans="1:22" x14ac:dyDescent="0.35">
      <c r="A59" s="13"/>
      <c r="B59" s="40" t="s">
        <v>92</v>
      </c>
      <c r="C59" s="2"/>
      <c r="D59" s="2"/>
      <c r="E59" s="2"/>
      <c r="F59" s="2"/>
      <c r="V59" s="130"/>
    </row>
    <row r="60" spans="1:22" x14ac:dyDescent="0.35">
      <c r="A60" s="22"/>
      <c r="B60" s="18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31"/>
    </row>
    <row r="61" spans="1:22" ht="15" customHeight="1" x14ac:dyDescent="0.35">
      <c r="A61" s="19"/>
      <c r="B61" s="2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26" t="s">
        <v>106</v>
      </c>
    </row>
    <row r="62" spans="1:22" x14ac:dyDescent="0.35">
      <c r="A62" s="21"/>
      <c r="B62" s="51" t="s">
        <v>109</v>
      </c>
      <c r="C62" s="51" t="s">
        <v>110</v>
      </c>
      <c r="D62" s="51" t="s">
        <v>111</v>
      </c>
      <c r="E62" s="51" t="s">
        <v>112</v>
      </c>
      <c r="V62" s="127"/>
    </row>
    <row r="63" spans="1:22" x14ac:dyDescent="0.35">
      <c r="A63" s="21"/>
      <c r="B63" s="6">
        <v>1</v>
      </c>
      <c r="C63" s="6">
        <f>SMALL(DESPESAS!$V$7:$V$51,B63)</f>
        <v>1</v>
      </c>
      <c r="D63" s="6" t="str">
        <f>INDEX(DESPESAS!$B$7:$B$51,MATCH(C63,DESPESAS!$V$7:$V$51,0),1)</f>
        <v>FINANCIAMENTO IMÓVEL</v>
      </c>
      <c r="E63" s="52">
        <f>INDEX(DESPESAS!$P$7:$P$51,MATCH(C63,DESPESAS!$V$7:$V$51,0),1)</f>
        <v>15300</v>
      </c>
      <c r="F63" s="53">
        <f>IF(E63=0,0,E63/DESPESAS!$P$52)</f>
        <v>0.4804521902967499</v>
      </c>
      <c r="V63" s="127"/>
    </row>
    <row r="64" spans="1:22" x14ac:dyDescent="0.35">
      <c r="A64" s="21"/>
      <c r="B64" s="6">
        <v>2</v>
      </c>
      <c r="C64" s="6">
        <f>SMALL(DESPESAS!$V$7:$V$51,B64)</f>
        <v>2</v>
      </c>
      <c r="D64" s="6" t="str">
        <f>INDEX(DESPESAS!$B$7:$B$51,MATCH(C64,DESPESAS!$V$7:$V$51,0),1)</f>
        <v>FINANCIAMENTO CARRO</v>
      </c>
      <c r="E64" s="52">
        <f>INDEX(DESPESAS!$P$7:$P$51,MATCH(C64,DESPESAS!$V$7:$V$51,0),1)</f>
        <v>3000</v>
      </c>
      <c r="F64" s="53">
        <f>IF(E64=0,0,E64/DESPESAS!$P$52)</f>
        <v>9.420631182289213E-2</v>
      </c>
      <c r="V64" s="127"/>
    </row>
    <row r="65" spans="1:22" x14ac:dyDescent="0.35">
      <c r="A65" s="21"/>
      <c r="B65" s="6">
        <v>3</v>
      </c>
      <c r="C65" s="6">
        <f>SMALL(DESPESAS!$V$7:$V$51,B65)</f>
        <v>3</v>
      </c>
      <c r="D65" s="6" t="str">
        <f>INDEX(DESPESAS!$B$7:$B$51,MATCH(C65,DESPESAS!$V$7:$V$51,0),1)</f>
        <v>IPTU</v>
      </c>
      <c r="E65" s="52">
        <f>INDEX(DESPESAS!$P$7:$P$51,MATCH(C65,DESPESAS!$V$7:$V$51,0),1)</f>
        <v>2520</v>
      </c>
      <c r="F65" s="53">
        <f>IF(E65=0,0,E65/DESPESAS!$P$52)</f>
        <v>7.9133301931229388E-2</v>
      </c>
      <c r="V65" s="127"/>
    </row>
    <row r="66" spans="1:22" x14ac:dyDescent="0.35">
      <c r="A66" s="21"/>
      <c r="B66" s="6">
        <v>4</v>
      </c>
      <c r="C66" s="6">
        <f>SMALL(DESPESAS!$V$7:$V$51,B66)</f>
        <v>4.01</v>
      </c>
      <c r="D66" s="6" t="str">
        <f>INDEX(DESPESAS!$B$7:$B$51,MATCH(C66,DESPESAS!$V$7:$V$51,0),1)</f>
        <v>EMPREGADA DOMÉSTICA</v>
      </c>
      <c r="E66" s="52">
        <f>INDEX(DESPESAS!$P$7:$P$51,MATCH(C66,DESPESAS!$V$7:$V$51,0),1)</f>
        <v>1800</v>
      </c>
      <c r="F66" s="53">
        <f>IF(E66=0,0,E66/DESPESAS!$P$52)</f>
        <v>5.6523787093735282E-2</v>
      </c>
      <c r="V66" s="127"/>
    </row>
    <row r="67" spans="1:22" x14ac:dyDescent="0.35">
      <c r="A67" s="21"/>
      <c r="B67" s="6">
        <v>5</v>
      </c>
      <c r="C67" s="6">
        <f>SMALL(DESPESAS!$V$7:$V$51,B67)</f>
        <v>4.0199999999999996</v>
      </c>
      <c r="D67" s="6" t="str">
        <f>INDEX(DESPESAS!$B$7:$B$51,MATCH(C67,DESPESAS!$V$7:$V$51,0),1)</f>
        <v>INTERNET</v>
      </c>
      <c r="E67" s="52">
        <f>INDEX(DESPESAS!$P$7:$P$51,MATCH(C67,DESPESAS!$V$7:$V$51,0),1)</f>
        <v>1800</v>
      </c>
      <c r="F67" s="53">
        <f>IF(E67=0,0,E67/DESPESAS!$P$52)</f>
        <v>5.6523787093735282E-2</v>
      </c>
      <c r="V67" s="127"/>
    </row>
    <row r="68" spans="1:22" x14ac:dyDescent="0.35">
      <c r="A68" s="21"/>
      <c r="B68" s="6">
        <v>6</v>
      </c>
      <c r="C68" s="6">
        <f>SMALL(DESPESAS!$V$7:$V$51,B68)</f>
        <v>6</v>
      </c>
      <c r="D68" s="6" t="str">
        <f>INDEX(DESPESAS!$B$7:$B$51,MATCH(C68,DESPESAS!$V$7:$V$51,0),1)</f>
        <v>ÁGUA</v>
      </c>
      <c r="E68" s="52">
        <f>INDEX(DESPESAS!$P$7:$P$51,MATCH(C68,DESPESAS!$V$7:$V$51,0),1)</f>
        <v>1560</v>
      </c>
      <c r="F68" s="53">
        <f>IF(E68=0,0,E68/DESPESAS!$P$52)</f>
        <v>4.8987282147903911E-2</v>
      </c>
      <c r="V68" s="127"/>
    </row>
    <row r="69" spans="1:22" x14ac:dyDescent="0.35">
      <c r="A69" s="21"/>
      <c r="B69" s="6">
        <v>7</v>
      </c>
      <c r="C69" s="6">
        <f>SMALL(DESPESAS!$V$7:$V$51,B69)</f>
        <v>7</v>
      </c>
      <c r="D69" s="6" t="str">
        <f>INDEX(DESPESAS!$B$7:$B$51,MATCH(C69,DESPESAS!$V$7:$V$51,0),1)</f>
        <v>MANUTENÇÃO CASA</v>
      </c>
      <c r="E69" s="52">
        <f>INDEX(DESPESAS!$P$7:$P$51,MATCH(C69,DESPESAS!$V$7:$V$51,0),1)</f>
        <v>1240</v>
      </c>
      <c r="F69" s="53">
        <f>IF(E69=0,0,E69/DESPESAS!$P$52)</f>
        <v>3.8938608886795414E-2</v>
      </c>
      <c r="V69" s="127"/>
    </row>
    <row r="70" spans="1:22" x14ac:dyDescent="0.35">
      <c r="A70" s="21"/>
      <c r="B70" s="6">
        <v>8</v>
      </c>
      <c r="C70" s="6">
        <f>SMALL(DESPESAS!$V$7:$V$51,B70)</f>
        <v>8</v>
      </c>
      <c r="D70" s="6" t="str">
        <f>INDEX(DESPESAS!$B$7:$B$51,MATCH(C70,DESPESAS!$V$7:$V$51,0),1)</f>
        <v>COMBUSTÍVEL</v>
      </c>
      <c r="E70" s="52">
        <f>INDEX(DESPESAS!$P$7:$P$51,MATCH(C70,DESPESAS!$V$7:$V$51,0),1)</f>
        <v>1150</v>
      </c>
      <c r="F70" s="53">
        <f>IF(E70=0,0,E70/DESPESAS!$P$52)</f>
        <v>3.6112419532108649E-2</v>
      </c>
      <c r="V70" s="127"/>
    </row>
    <row r="71" spans="1:22" x14ac:dyDescent="0.35">
      <c r="A71" s="21"/>
      <c r="B71" s="6">
        <v>9</v>
      </c>
      <c r="C71" s="6">
        <f>SMALL(DESPESAS!$V$7:$V$51,B71)</f>
        <v>9</v>
      </c>
      <c r="D71" s="6" t="str">
        <f>INDEX(DESPESAS!$B$7:$B$51,MATCH(C71,DESPESAS!$V$7:$V$51,0),1)</f>
        <v>LUZ</v>
      </c>
      <c r="E71" s="52">
        <f>INDEX(DESPESAS!$P$7:$P$51,MATCH(C71,DESPESAS!$V$7:$V$51,0),1)</f>
        <v>1080</v>
      </c>
      <c r="F71" s="53">
        <f>IF(E71=0,0,E71/DESPESAS!$P$52)</f>
        <v>3.3914272256241169E-2</v>
      </c>
      <c r="V71" s="127"/>
    </row>
    <row r="72" spans="1:22" x14ac:dyDescent="0.35">
      <c r="A72" s="21"/>
      <c r="B72" s="6">
        <v>10</v>
      </c>
      <c r="C72" s="6">
        <f>SMALL(DESPESAS!$V$7:$V$51,B72)</f>
        <v>10</v>
      </c>
      <c r="D72" s="6" t="str">
        <f>INDEX(DESPESAS!$B$7:$B$51,MATCH(C72,DESPESAS!$V$7:$V$51,0),1)</f>
        <v>UBER / 99 TAXIS / ETC</v>
      </c>
      <c r="E72" s="52">
        <f>INDEX(DESPESAS!$P$7:$P$51,MATCH(C72,DESPESAS!$V$7:$V$51,0),1)</f>
        <v>895</v>
      </c>
      <c r="F72" s="53">
        <f>IF(E72=0,0,E72/DESPESAS!$P$52)</f>
        <v>2.8104883027162821E-2</v>
      </c>
      <c r="V72" s="127"/>
    </row>
    <row r="73" spans="1:22" x14ac:dyDescent="0.35">
      <c r="A73" s="21"/>
      <c r="F73" s="53">
        <f>IF(E73=0,0,E73/DESPESAS!$P$52)</f>
        <v>0</v>
      </c>
      <c r="V73" s="127"/>
    </row>
    <row r="74" spans="1:22" x14ac:dyDescent="0.35">
      <c r="A74" s="21"/>
      <c r="V74" s="127"/>
    </row>
    <row r="75" spans="1:22" x14ac:dyDescent="0.35">
      <c r="A75" s="21"/>
      <c r="B75" s="2" t="s">
        <v>114</v>
      </c>
      <c r="C75">
        <v>1</v>
      </c>
      <c r="V75" s="127"/>
    </row>
    <row r="76" spans="1:22" x14ac:dyDescent="0.35">
      <c r="A76" s="21"/>
      <c r="B76" s="2" t="s">
        <v>113</v>
      </c>
      <c r="D76" s="6" t="s">
        <v>1</v>
      </c>
      <c r="E76" s="6" t="s">
        <v>2</v>
      </c>
      <c r="F76" s="6" t="s">
        <v>3</v>
      </c>
      <c r="G76" s="6" t="s">
        <v>4</v>
      </c>
      <c r="H76" s="6" t="s">
        <v>5</v>
      </c>
      <c r="I76" s="6" t="s">
        <v>6</v>
      </c>
      <c r="J76" s="6" t="s">
        <v>7</v>
      </c>
      <c r="K76" s="6" t="s">
        <v>8</v>
      </c>
      <c r="L76" s="6" t="s">
        <v>9</v>
      </c>
      <c r="M76" s="6" t="s">
        <v>10</v>
      </c>
      <c r="N76" s="6" t="s">
        <v>11</v>
      </c>
      <c r="O76" s="6" t="s">
        <v>12</v>
      </c>
      <c r="P76" s="6" t="s">
        <v>55</v>
      </c>
      <c r="V76" s="127"/>
    </row>
    <row r="77" spans="1:22" x14ac:dyDescent="0.35">
      <c r="A77" s="21"/>
      <c r="B77" s="2" t="str">
        <f>INDEX(listbox_despesas,C75,1)</f>
        <v>MORADIA</v>
      </c>
      <c r="D77" s="5">
        <f ca="1">IF(SUMIFS(OFFSET(DESPESAS!$D$7:$D$51,0,D5-1),DESPESAS!$C$7:$C$51,SUPORTE!$B$77)=0,NA(),SUMIFS(OFFSET(DESPESAS!$D$7:$D$51,0,D5-1),DESPESAS!$C$7:$C$51,SUPORTE!$B$77))</f>
        <v>2045</v>
      </c>
      <c r="E77" s="5">
        <f ca="1">IF(SUMIFS(OFFSET(DESPESAS!$D$7:$D$51,0,E5-1),DESPESAS!$C$7:$C$51,SUPORTE!$B$77)=0,NA(),SUMIFS(OFFSET(DESPESAS!$D$7:$D$51,0,E5-1),DESPESAS!$C$7:$C$51,SUPORTE!$B$77))</f>
        <v>2595</v>
      </c>
      <c r="F77" s="5">
        <f ca="1">IF(SUMIFS(OFFSET(DESPESAS!$D$7:$D$51,0,F5-1),DESPESAS!$C$7:$C$51,SUPORTE!$B$77)=0,NA(),SUMIFS(OFFSET(DESPESAS!$D$7:$D$51,0,F5-1),DESPESAS!$C$7:$C$51,SUPORTE!$B$77))</f>
        <v>2045</v>
      </c>
      <c r="G77" s="5">
        <f ca="1">IF(SUMIFS(OFFSET(DESPESAS!$D$7:$D$51,0,G5-1),DESPESAS!$C$7:$C$51,SUPORTE!$B$77)=0,NA(),SUMIFS(OFFSET(DESPESAS!$D$7:$D$51,0,G5-1),DESPESAS!$C$7:$C$51,SUPORTE!$B$77))</f>
        <v>2045</v>
      </c>
      <c r="H77" s="5">
        <f ca="1">IF(SUMIFS(OFFSET(DESPESAS!$D$7:$D$51,0,H5-1),DESPESAS!$C$7:$C$51,SUPORTE!$B$77)=0,NA(),SUMIFS(OFFSET(DESPESAS!$D$7:$D$51,0,H5-1),DESPESAS!$C$7:$C$51,SUPORTE!$B$77))</f>
        <v>2345</v>
      </c>
      <c r="I77" s="5">
        <f ca="1">IF(SUMIFS(OFFSET(DESPESAS!$D$7:$D$51,0,I5-1),DESPESAS!$C$7:$C$51,SUPORTE!$B$77)=0,NA(),SUMIFS(OFFSET(DESPESAS!$D$7:$D$51,0,I5-1),DESPESAS!$C$7:$C$51,SUPORTE!$B$77))</f>
        <v>2645</v>
      </c>
      <c r="J77" s="5">
        <f ca="1">IF(SUMIFS(OFFSET(DESPESAS!$D$7:$D$51,0,J5-1),DESPESAS!$C$7:$C$51,SUPORTE!$B$77)=0,NA(),SUMIFS(OFFSET(DESPESAS!$D$7:$D$51,0,J5-1),DESPESAS!$C$7:$C$51,SUPORTE!$B$77))</f>
        <v>2045</v>
      </c>
      <c r="K77" s="5">
        <f ca="1">IF(SUMIFS(OFFSET(DESPESAS!$D$7:$D$51,0,K5-1),DESPESAS!$C$7:$C$51,SUPORTE!$B$77)=0,NA(),SUMIFS(OFFSET(DESPESAS!$D$7:$D$51,0,K5-1),DESPESAS!$C$7:$C$51,SUPORTE!$B$77))</f>
        <v>2165</v>
      </c>
      <c r="L77" s="5">
        <f ca="1">IF(SUMIFS(OFFSET(DESPESAS!$D$7:$D$51,0,L5-1),DESPESAS!$C$7:$C$51,SUPORTE!$B$77)=0,NA(),SUMIFS(OFFSET(DESPESAS!$D$7:$D$51,0,L5-1),DESPESAS!$C$7:$C$51,SUPORTE!$B$77))</f>
        <v>2175</v>
      </c>
      <c r="M77" s="5">
        <f ca="1">IF(SUMIFS(OFFSET(DESPESAS!$D$7:$D$51,0,M5-1),DESPESAS!$C$7:$C$51,SUPORTE!$B$77)=0,NA(),SUMIFS(OFFSET(DESPESAS!$D$7:$D$51,0,M5-1),DESPESAS!$C$7:$C$51,SUPORTE!$B$77))</f>
        <v>2085</v>
      </c>
      <c r="N77" s="5">
        <f ca="1">IF(SUMIFS(OFFSET(DESPESAS!$D$7:$D$51,0,N5-1),DESPESAS!$C$7:$C$51,SUPORTE!$B$77)=0,NA(),SUMIFS(OFFSET(DESPESAS!$D$7:$D$51,0,N5-1),DESPESAS!$C$7:$C$51,SUPORTE!$B$77))</f>
        <v>1945</v>
      </c>
      <c r="O77" s="5">
        <f ca="1">IF(SUMIFS(OFFSET(DESPESAS!$D$7:$D$51,0,O5-1),DESPESAS!$C$7:$C$51,SUPORTE!$B$77)=0,NA(),SUMIFS(OFFSET(DESPESAS!$D$7:$D$51,0,O5-1),DESPESAS!$C$7:$C$51,SUPORTE!$B$77))</f>
        <v>1945</v>
      </c>
      <c r="P77" s="5">
        <f ca="1">SUMIF(D77:O77,"&gt;0",D77:O77)</f>
        <v>26080</v>
      </c>
      <c r="Q77" s="54">
        <f ca="1">IF(P77=0,0,P77/DESPESAS!P52)</f>
        <v>0.81896687078034225</v>
      </c>
      <c r="V77" s="127"/>
    </row>
    <row r="78" spans="1:22" x14ac:dyDescent="0.35">
      <c r="A78" s="21"/>
      <c r="D78" s="55">
        <f ca="1">IFERROR(D77/DESPESAS!D52,0)</f>
        <v>0.7941747572815534</v>
      </c>
      <c r="E78" s="55">
        <f ca="1">IFERROR(E77/DESPESAS!E52,0)</f>
        <v>0.83040000000000003</v>
      </c>
      <c r="F78" s="55">
        <f ca="1">IFERROR(F77/DESPESAS!F52,0)</f>
        <v>0.79263565891472865</v>
      </c>
      <c r="G78" s="55">
        <f ca="1">IFERROR(G77/DESPESAS!G52,0)</f>
        <v>0.67940199335548168</v>
      </c>
      <c r="H78" s="55">
        <f ca="1">IFERROR(H77/DESPESAS!H52,0)</f>
        <v>0.80308219178082196</v>
      </c>
      <c r="I78" s="55">
        <f ca="1">IFERROR(I77/DESPESAS!I52,0)</f>
        <v>0.89207419898819562</v>
      </c>
      <c r="J78" s="55">
        <f ca="1">IFERROR(J77/DESPESAS!J52,0)</f>
        <v>0.86652542372881358</v>
      </c>
      <c r="K78" s="55">
        <f ca="1">IFERROR(K77/DESPESAS!K52,0)</f>
        <v>0.86461661341853036</v>
      </c>
      <c r="L78" s="55">
        <f ca="1">IFERROR(L77/DESPESAS!L52,0)</f>
        <v>0.86309523809523814</v>
      </c>
      <c r="M78" s="55">
        <f ca="1">IFERROR(M77/DESPESAS!M52,0)</f>
        <v>0.86014851485148514</v>
      </c>
      <c r="N78" s="55">
        <f ca="1">IFERROR(N77/DESPESAS!N52,0)</f>
        <v>0.75009641342074818</v>
      </c>
      <c r="O78" s="55">
        <f ca="1">IFERROR(O77/DESPESAS!O52,0)</f>
        <v>0.85720581754076686</v>
      </c>
      <c r="V78" s="127"/>
    </row>
    <row r="79" spans="1:22" x14ac:dyDescent="0.35">
      <c r="A79" s="2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V79" s="127"/>
    </row>
    <row r="80" spans="1:22" x14ac:dyDescent="0.35">
      <c r="A80" s="2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V80" s="127"/>
    </row>
    <row r="81" spans="1:22" x14ac:dyDescent="0.35">
      <c r="A81" s="21"/>
      <c r="B81" s="2" t="s">
        <v>115</v>
      </c>
      <c r="D81" s="6" t="s">
        <v>1</v>
      </c>
      <c r="E81" s="6" t="s">
        <v>2</v>
      </c>
      <c r="F81" s="6" t="s">
        <v>3</v>
      </c>
      <c r="G81" s="6" t="s">
        <v>4</v>
      </c>
      <c r="H81" s="6" t="s">
        <v>5</v>
      </c>
      <c r="I81" s="6" t="s">
        <v>6</v>
      </c>
      <c r="J81" s="6" t="s">
        <v>7</v>
      </c>
      <c r="K81" s="6" t="s">
        <v>8</v>
      </c>
      <c r="L81" s="6" t="s">
        <v>9</v>
      </c>
      <c r="M81" s="6" t="s">
        <v>10</v>
      </c>
      <c r="N81" s="6" t="s">
        <v>11</v>
      </c>
      <c r="O81" s="6" t="s">
        <v>12</v>
      </c>
      <c r="P81" s="6" t="s">
        <v>55</v>
      </c>
      <c r="V81" s="127"/>
    </row>
    <row r="82" spans="1:22" x14ac:dyDescent="0.35">
      <c r="A82" s="21"/>
      <c r="B82" s="2" t="s">
        <v>114</v>
      </c>
      <c r="C82" s="56">
        <v>2</v>
      </c>
      <c r="D82" s="57">
        <f>INDEX(DESPESAS!$D$7:$O$51,SUPORTE!$C$82,D5)</f>
        <v>1300</v>
      </c>
      <c r="E82" s="57">
        <f>INDEX(DESPESAS!$D$7:$O$51,SUPORTE!$C$82,E5)</f>
        <v>1300</v>
      </c>
      <c r="F82" s="57">
        <f>INDEX(DESPESAS!$D$7:$O$51,SUPORTE!$C$82,F5)</f>
        <v>1300</v>
      </c>
      <c r="G82" s="57">
        <f>INDEX(DESPESAS!$D$7:$O$51,SUPORTE!$C$82,G5)</f>
        <v>1300</v>
      </c>
      <c r="H82" s="57">
        <f>INDEX(DESPESAS!$D$7:$O$51,SUPORTE!$C$82,H5)</f>
        <v>1300</v>
      </c>
      <c r="I82" s="57">
        <f>INDEX(DESPESAS!$D$7:$O$51,SUPORTE!$C$82,I5)</f>
        <v>1300</v>
      </c>
      <c r="J82" s="57">
        <f>INDEX(DESPESAS!$D$7:$O$51,SUPORTE!$C$82,J5)</f>
        <v>1300</v>
      </c>
      <c r="K82" s="57">
        <f>INDEX(DESPESAS!$D$7:$O$51,SUPORTE!$C$82,K5)</f>
        <v>1300</v>
      </c>
      <c r="L82" s="57">
        <f>INDEX(DESPESAS!$D$7:$O$51,SUPORTE!$C$82,L5)</f>
        <v>1300</v>
      </c>
      <c r="M82" s="57">
        <f>INDEX(DESPESAS!$D$7:$O$51,SUPORTE!$C$82,M5)</f>
        <v>1200</v>
      </c>
      <c r="N82" s="57">
        <f>INDEX(DESPESAS!$D$7:$O$51,SUPORTE!$C$82,N5)</f>
        <v>1200</v>
      </c>
      <c r="O82" s="57">
        <f>INDEX(DESPESAS!$D$7:$O$51,SUPORTE!$C$82,O5)</f>
        <v>1200</v>
      </c>
      <c r="P82" s="5">
        <f>SUM(D82:O82)</f>
        <v>15300</v>
      </c>
      <c r="V82" s="127"/>
    </row>
    <row r="83" spans="1:22" x14ac:dyDescent="0.35">
      <c r="A83" s="21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60"/>
      <c r="Q83" s="60"/>
      <c r="V83" s="127"/>
    </row>
    <row r="84" spans="1:22" x14ac:dyDescent="0.35">
      <c r="A84" s="22"/>
      <c r="B84" s="18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28"/>
    </row>
    <row r="85" spans="1:22" x14ac:dyDescent="0.35">
      <c r="A85" s="19"/>
      <c r="B85" s="2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26" t="s">
        <v>116</v>
      </c>
    </row>
    <row r="86" spans="1:22" x14ac:dyDescent="0.35">
      <c r="A86" s="21"/>
      <c r="B86" s="51" t="s">
        <v>13</v>
      </c>
      <c r="C86" s="51" t="s">
        <v>110</v>
      </c>
      <c r="D86" s="51" t="s">
        <v>111</v>
      </c>
      <c r="E86" s="51" t="s">
        <v>112</v>
      </c>
      <c r="V86" s="127"/>
    </row>
    <row r="87" spans="1:22" x14ac:dyDescent="0.35">
      <c r="A87" s="21"/>
      <c r="B87" s="6">
        <v>1</v>
      </c>
      <c r="C87" s="6">
        <f>SMALL(RECEITAS!$V$7:$V$24,B87)</f>
        <v>1</v>
      </c>
      <c r="D87" s="6" t="str">
        <f>INDEX(RECEITAS!$B$7:$B$24,MATCH(C87,RECEITAS!$V$7:$V$24,0),1)</f>
        <v>SALÁRIO</v>
      </c>
      <c r="E87" s="52">
        <f>INDEX(RECEITAS!$P$7:$P$24,MATCH(C87,RECEITAS!$V$7:$V$24,0),1)</f>
        <v>37300</v>
      </c>
      <c r="F87" s="53">
        <f>IF(E87=0,0,E87/RECEITAS!$P$25)</f>
        <v>0.8028411536805854</v>
      </c>
      <c r="V87" s="127"/>
    </row>
    <row r="88" spans="1:22" x14ac:dyDescent="0.35">
      <c r="A88" s="21"/>
      <c r="B88" s="6">
        <v>2</v>
      </c>
      <c r="C88" s="6">
        <f>SMALL(RECEITAS!$V$7:$V$24,B88)</f>
        <v>2</v>
      </c>
      <c r="D88" s="6" t="str">
        <f>INDEX(RECEITAS!$B$7:$B$24,MATCH(C88,RECEITAS!$V$7:$V$24,0),1)</f>
        <v>FÉRIAS</v>
      </c>
      <c r="E88" s="52">
        <f>INDEX(RECEITAS!$P$7:$P$24,MATCH(C88,RECEITAS!$V$7:$V$24,0),1)</f>
        <v>5490</v>
      </c>
      <c r="F88" s="53">
        <f>IF(E88=0,0,E88/RECEITAS!$P$25)</f>
        <v>0.11816616444253121</v>
      </c>
      <c r="V88" s="127"/>
    </row>
    <row r="89" spans="1:22" x14ac:dyDescent="0.35">
      <c r="A89" s="21"/>
      <c r="B89" s="6">
        <v>3</v>
      </c>
      <c r="C89" s="6">
        <f>SMALL(RECEITAS!$V$7:$V$24,B89)</f>
        <v>3</v>
      </c>
      <c r="D89" s="6" t="str">
        <f>INDEX(RECEITAS!$B$7:$B$24,MATCH(C89,RECEITAS!$V$7:$V$24,0),1)</f>
        <v>13º SALÁRIO</v>
      </c>
      <c r="E89" s="52">
        <f>INDEX(RECEITAS!$P$7:$P$24,MATCH(C89,RECEITAS!$V$7:$V$24,0),1)</f>
        <v>3200</v>
      </c>
      <c r="F89" s="53">
        <f>IF(E89=0,0,E89/RECEITAS!$P$25)</f>
        <v>6.8876452862677573E-2</v>
      </c>
      <c r="V89" s="127"/>
    </row>
    <row r="90" spans="1:22" x14ac:dyDescent="0.35">
      <c r="A90" s="21"/>
      <c r="B90" s="6">
        <v>4</v>
      </c>
      <c r="C90" s="6">
        <f>SMALL(RECEITAS!$V$7:$V$24,B90)</f>
        <v>4</v>
      </c>
      <c r="D90" s="6" t="str">
        <f>INDEX(RECEITAS!$B$7:$B$24,MATCH(C90,RECEITAS!$V$7:$V$24,0),1)</f>
        <v>BÔNUS</v>
      </c>
      <c r="E90" s="52">
        <f>INDEX(RECEITAS!$P$7:$P$24,MATCH(C90,RECEITAS!$V$7:$V$24,0),1)</f>
        <v>470</v>
      </c>
      <c r="F90" s="53">
        <f>IF(E90=0,0,E90/RECEITAS!$P$25)</f>
        <v>1.0116229014205768E-2</v>
      </c>
      <c r="V90" s="127"/>
    </row>
    <row r="91" spans="1:22" x14ac:dyDescent="0.35">
      <c r="A91" s="21"/>
      <c r="B91" s="6">
        <v>5</v>
      </c>
      <c r="C91" s="6">
        <f>SMALL(RECEITAS!$V$7:$V$24,B91)</f>
        <v>5.01</v>
      </c>
      <c r="D91" s="6" t="str">
        <f>INDEX(RECEITAS!$B$7:$B$24,MATCH(C91,RECEITAS!$V$7:$V$24,0),1)</f>
        <v>ALUGUEL</v>
      </c>
      <c r="E91" s="52">
        <f>INDEX(RECEITAS!$P$7:$P$24,MATCH(C91,RECEITAS!$V$7:$V$24,0),1)</f>
        <v>0</v>
      </c>
      <c r="F91" s="53">
        <f>IF(E91=0,0,E91/RECEITAS!$P$25)</f>
        <v>0</v>
      </c>
      <c r="V91" s="127"/>
    </row>
    <row r="92" spans="1:22" x14ac:dyDescent="0.35">
      <c r="A92" s="21"/>
      <c r="B92" s="6">
        <v>6</v>
      </c>
      <c r="C92" s="6">
        <f>SMALL(RECEITAS!$V$7:$V$24,B92)</f>
        <v>5.0199999999999996</v>
      </c>
      <c r="D92" s="6" t="str">
        <f>INDEX(RECEITAS!$B$7:$B$24,MATCH(C92,RECEITAS!$V$7:$V$24,0),1)</f>
        <v>PENSÃO</v>
      </c>
      <c r="E92" s="52">
        <f>INDEX(RECEITAS!$P$7:$P$24,MATCH(C92,RECEITAS!$V$7:$V$24,0),1)</f>
        <v>0</v>
      </c>
      <c r="F92" s="53">
        <f>IF(E92=0,0,E92/RECEITAS!$P$25)</f>
        <v>0</v>
      </c>
      <c r="V92" s="127"/>
    </row>
    <row r="93" spans="1:22" x14ac:dyDescent="0.35">
      <c r="A93" s="21"/>
      <c r="B93" s="6">
        <v>7</v>
      </c>
      <c r="C93" s="6">
        <f>SMALL(RECEITAS!$V$7:$V$24,B93)</f>
        <v>5.03</v>
      </c>
      <c r="D93" s="6" t="str">
        <f>INDEX(RECEITAS!$B$7:$B$24,MATCH(C93,RECEITAS!$V$7:$V$24,0),1)</f>
        <v>RENDA EXTRA</v>
      </c>
      <c r="E93" s="52">
        <f>INDEX(RECEITAS!$P$7:$P$24,MATCH(C93,RECEITAS!$V$7:$V$24,0),1)</f>
        <v>0</v>
      </c>
      <c r="F93" s="53">
        <f>IF(E93=0,0,E93/RECEITAS!$P$25)</f>
        <v>0</v>
      </c>
      <c r="V93" s="127"/>
    </row>
    <row r="94" spans="1:22" x14ac:dyDescent="0.35">
      <c r="A94" s="21"/>
      <c r="B94" s="6">
        <v>8</v>
      </c>
      <c r="C94" s="6">
        <f>SMALL(RECEITAS!$V$7:$V$24,B94)</f>
        <v>5.04</v>
      </c>
      <c r="D94" s="6" t="str">
        <f>INDEX(RECEITAS!$B$7:$B$24,MATCH(C94,RECEITAS!$V$7:$V$24,0),1)</f>
        <v>BENEFÍCIO DE PREVIDÊNCIA</v>
      </c>
      <c r="E94" s="52">
        <f>INDEX(RECEITAS!$P$7:$P$24,MATCH(C94,RECEITAS!$V$7:$V$24,0),1)</f>
        <v>0</v>
      </c>
      <c r="F94" s="53">
        <f>IF(E94=0,0,E94/RECEITAS!$P$25)</f>
        <v>0</v>
      </c>
      <c r="V94" s="127"/>
    </row>
    <row r="95" spans="1:22" x14ac:dyDescent="0.35">
      <c r="A95" s="21"/>
      <c r="B95" s="6">
        <v>9</v>
      </c>
      <c r="C95" s="6">
        <f>SMALL(RECEITAS!$V$7:$V$24,B95)</f>
        <v>5.05</v>
      </c>
      <c r="D95" s="6" t="str">
        <f>INDEX(RECEITAS!$B$7:$B$24,MATCH(C95,RECEITAS!$V$7:$V$24,0),1)</f>
        <v>DIVIDENDOS</v>
      </c>
      <c r="E95" s="52">
        <f>INDEX(RECEITAS!$P$7:$P$24,MATCH(C95,RECEITAS!$V$7:$V$24,0),1)</f>
        <v>0</v>
      </c>
      <c r="F95" s="53">
        <f>IF(E95=0,0,E95/RECEITAS!$P$25)</f>
        <v>0</v>
      </c>
      <c r="V95" s="127"/>
    </row>
    <row r="96" spans="1:22" x14ac:dyDescent="0.35">
      <c r="A96" s="21"/>
      <c r="B96" s="6">
        <v>10</v>
      </c>
      <c r="C96" s="6">
        <f>SMALL(RECEITAS!$V$7:$V$24,B96)</f>
        <v>5.0599999999999996</v>
      </c>
      <c r="D96" s="6" t="str">
        <f>INDEX(RECEITAS!$B$7:$B$24,MATCH(C96,RECEITAS!$V$7:$V$24,0),1)</f>
        <v>VALE ALIMENTAÇÃO</v>
      </c>
      <c r="E96" s="52">
        <f>INDEX(RECEITAS!$P$7:$P$24,MATCH(C96,RECEITAS!$V$7:$V$24,0),1)</f>
        <v>0</v>
      </c>
      <c r="F96" s="53">
        <f>IF(E96=0,0,E96/RECEITAS!$P$25)</f>
        <v>0</v>
      </c>
      <c r="V96" s="127"/>
    </row>
    <row r="97" spans="1:22" x14ac:dyDescent="0.35">
      <c r="A97" s="21"/>
      <c r="F97" s="53">
        <f>IF(E97=0,0,E97/RECEITAS!$P$25)</f>
        <v>0</v>
      </c>
      <c r="V97" s="127"/>
    </row>
    <row r="98" spans="1:22" x14ac:dyDescent="0.35">
      <c r="A98" s="21"/>
      <c r="V98" s="127"/>
    </row>
    <row r="99" spans="1:22" x14ac:dyDescent="0.35">
      <c r="A99" s="21"/>
      <c r="B99" s="2" t="s">
        <v>114</v>
      </c>
      <c r="C99">
        <v>1</v>
      </c>
      <c r="V99" s="127"/>
    </row>
    <row r="100" spans="1:22" x14ac:dyDescent="0.35">
      <c r="A100" s="21"/>
      <c r="B100" s="2" t="s">
        <v>113</v>
      </c>
      <c r="D100" s="6" t="s">
        <v>1</v>
      </c>
      <c r="E100" s="6" t="s">
        <v>2</v>
      </c>
      <c r="F100" s="6" t="s">
        <v>3</v>
      </c>
      <c r="G100" s="6" t="s">
        <v>4</v>
      </c>
      <c r="H100" s="6" t="s">
        <v>5</v>
      </c>
      <c r="I100" s="6" t="s">
        <v>6</v>
      </c>
      <c r="J100" s="6" t="s">
        <v>7</v>
      </c>
      <c r="K100" s="6" t="s">
        <v>8</v>
      </c>
      <c r="L100" s="6" t="s">
        <v>9</v>
      </c>
      <c r="M100" s="6" t="s">
        <v>10</v>
      </c>
      <c r="N100" s="6" t="s">
        <v>11</v>
      </c>
      <c r="O100" s="6" t="s">
        <v>12</v>
      </c>
      <c r="P100" s="6" t="s">
        <v>55</v>
      </c>
      <c r="V100" s="127"/>
    </row>
    <row r="101" spans="1:22" x14ac:dyDescent="0.35">
      <c r="A101" s="21"/>
      <c r="B101" s="2" t="str">
        <f>INDEX(listbox_receitas,C99,1)</f>
        <v>SALÁRIO</v>
      </c>
      <c r="D101" s="5">
        <f ca="1">IF(SUMIFS(OFFSET(RECEITAS!$D$7:$D$24,0,D5-1),RECEITAS!$C$7:$C$24,SUPORTE!$B$101)=0,NA(),SUMIFS(OFFSET(RECEITAS!$D$7:$D$24,0,D5-1),RECEITAS!$C$7:$C$24,SUPORTE!$B$101))</f>
        <v>3450</v>
      </c>
      <c r="E101" s="5">
        <f ca="1">IF(SUMIFS(OFFSET(RECEITAS!$D$7:$D$24,0,E5-1),RECEITAS!$C$7:$C$24,SUPORTE!$B$101)=0,NA(),SUMIFS(OFFSET(RECEITAS!$D$7:$D$24,0,E5-1),RECEITAS!$C$7:$C$24,SUPORTE!$B$101))</f>
        <v>3680</v>
      </c>
      <c r="F101" s="5">
        <f ca="1">IF(SUMIFS(OFFSET(RECEITAS!$D$7:$D$24,0,F5-1),RECEITAS!$C$7:$C$24,SUPORTE!$B$101)=0,NA(),SUMIFS(OFFSET(RECEITAS!$D$7:$D$24,0,F5-1),RECEITAS!$C$7:$C$24,SUPORTE!$B$101))</f>
        <v>3450</v>
      </c>
      <c r="G101" s="5">
        <f ca="1">IF(SUMIFS(OFFSET(RECEITAS!$D$7:$D$24,0,G5-1),RECEITAS!$C$7:$C$24,SUPORTE!$B$101)=0,NA(),SUMIFS(OFFSET(RECEITAS!$D$7:$D$24,0,G5-1),RECEITAS!$C$7:$C$24,SUPORTE!$B$101))</f>
        <v>3450</v>
      </c>
      <c r="H101" s="5">
        <f ca="1">IF(SUMIFS(OFFSET(RECEITAS!$D$7:$D$24,0,H5-1),RECEITAS!$C$7:$C$24,SUPORTE!$B$101)=0,NA(),SUMIFS(OFFSET(RECEITAS!$D$7:$D$24,0,H5-1),RECEITAS!$C$7:$C$24,SUPORTE!$B$101))</f>
        <v>3600</v>
      </c>
      <c r="I101" s="5">
        <f ca="1">IF(SUMIFS(OFFSET(RECEITAS!$D$7:$D$24,0,I5-1),RECEITAS!$C$7:$C$24,SUPORTE!$B$101)=0,NA(),SUMIFS(OFFSET(RECEITAS!$D$7:$D$24,0,I5-1),RECEITAS!$C$7:$C$24,SUPORTE!$B$101))</f>
        <v>3950</v>
      </c>
      <c r="J101" s="5">
        <f ca="1">IF(SUMIFS(OFFSET(RECEITAS!$D$7:$D$24,0,J5-1),RECEITAS!$C$7:$C$24,SUPORTE!$B$101)=0,NA(),SUMIFS(OFFSET(RECEITAS!$D$7:$D$24,0,J5-1),RECEITAS!$C$7:$C$24,SUPORTE!$B$101))</f>
        <v>3450</v>
      </c>
      <c r="K101" s="5">
        <f ca="1">IF(SUMIFS(OFFSET(RECEITAS!$D$7:$D$24,0,K5-1),RECEITAS!$C$7:$C$24,SUPORTE!$B$101)=0,NA(),SUMIFS(OFFSET(RECEITAS!$D$7:$D$24,0,K5-1),RECEITAS!$C$7:$C$24,SUPORTE!$B$101))</f>
        <v>3450</v>
      </c>
      <c r="L101" s="5">
        <f ca="1">IF(SUMIFS(OFFSET(RECEITAS!$D$7:$D$24,0,L5-1),RECEITAS!$C$7:$C$24,SUPORTE!$B$101)=0,NA(),SUMIFS(OFFSET(RECEITAS!$D$7:$D$24,0,L5-1),RECEITAS!$C$7:$C$24,SUPORTE!$B$101))</f>
        <v>3650</v>
      </c>
      <c r="M101" s="5">
        <f ca="1">IF(SUMIFS(OFFSET(RECEITAS!$D$7:$D$24,0,M5-1),RECEITAS!$C$7:$C$24,SUPORTE!$B$101)=0,NA(),SUMIFS(OFFSET(RECEITAS!$D$7:$D$24,0,M5-1),RECEITAS!$C$7:$C$24,SUPORTE!$B$101))</f>
        <v>3770</v>
      </c>
      <c r="N101" s="5">
        <f ca="1">IF(SUMIFS(OFFSET(RECEITAS!$D$7:$D$24,0,N5-1),RECEITAS!$C$7:$C$24,SUPORTE!$B$101)=0,NA(),SUMIFS(OFFSET(RECEITAS!$D$7:$D$24,0,N5-1),RECEITAS!$C$7:$C$24,SUPORTE!$B$101))</f>
        <v>5280</v>
      </c>
      <c r="O101" s="5">
        <f ca="1">IF(SUMIFS(OFFSET(RECEITAS!$D$7:$D$24,0,O5-1),RECEITAS!$C$7:$C$24,SUPORTE!$B$101)=0,NA(),SUMIFS(OFFSET(RECEITAS!$D$7:$D$24,0,O5-1),RECEITAS!$C$7:$C$24,SUPORTE!$B$101))</f>
        <v>5280</v>
      </c>
      <c r="P101" s="5">
        <f ca="1">SUMIF(D101:O101,"&gt;0",D101:O101)</f>
        <v>46460</v>
      </c>
      <c r="Q101" s="54">
        <f ca="1">IF(P101=0,0,P101/RECEITAS!P25)</f>
        <v>1</v>
      </c>
      <c r="V101" s="127"/>
    </row>
    <row r="102" spans="1:22" x14ac:dyDescent="0.35">
      <c r="A102" s="21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V102" s="127"/>
    </row>
    <row r="103" spans="1:22" x14ac:dyDescent="0.35">
      <c r="A103" s="2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V103" s="127"/>
    </row>
    <row r="104" spans="1:22" x14ac:dyDescent="0.35">
      <c r="A104" s="2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V104" s="127"/>
    </row>
    <row r="105" spans="1:22" x14ac:dyDescent="0.35">
      <c r="A105" s="21"/>
      <c r="B105" s="2" t="s">
        <v>115</v>
      </c>
      <c r="D105" s="6" t="s">
        <v>1</v>
      </c>
      <c r="E105" s="6" t="s">
        <v>2</v>
      </c>
      <c r="F105" s="6" t="s">
        <v>3</v>
      </c>
      <c r="G105" s="6" t="s">
        <v>4</v>
      </c>
      <c r="H105" s="6" t="s">
        <v>5</v>
      </c>
      <c r="I105" s="6" t="s">
        <v>6</v>
      </c>
      <c r="J105" s="6" t="s">
        <v>7</v>
      </c>
      <c r="K105" s="6" t="s">
        <v>8</v>
      </c>
      <c r="L105" s="6" t="s">
        <v>9</v>
      </c>
      <c r="M105" s="6" t="s">
        <v>10</v>
      </c>
      <c r="N105" s="6" t="s">
        <v>11</v>
      </c>
      <c r="O105" s="6" t="s">
        <v>12</v>
      </c>
      <c r="P105" s="6" t="s">
        <v>55</v>
      </c>
      <c r="V105" s="127"/>
    </row>
    <row r="106" spans="1:22" x14ac:dyDescent="0.35">
      <c r="A106" s="21"/>
      <c r="B106" s="2" t="s">
        <v>114</v>
      </c>
      <c r="C106" s="56">
        <v>1</v>
      </c>
      <c r="D106" s="57">
        <f>INDEX(RECEITAS!$D$7:$O$24,SUPORTE!$C$106,D5)</f>
        <v>3000</v>
      </c>
      <c r="E106" s="57">
        <f>INDEX(RECEITAS!$D$7:$O$24,SUPORTE!$C$106,E5)</f>
        <v>3000</v>
      </c>
      <c r="F106" s="57">
        <f>INDEX(RECEITAS!$D$7:$O$24,SUPORTE!$C$106,F5)</f>
        <v>3000</v>
      </c>
      <c r="G106" s="57">
        <f>INDEX(RECEITAS!$D$7:$O$24,SUPORTE!$C$106,G5)</f>
        <v>3000</v>
      </c>
      <c r="H106" s="57">
        <f>INDEX(RECEITAS!$D$7:$O$24,SUPORTE!$C$106,H5)</f>
        <v>3000</v>
      </c>
      <c r="I106" s="57">
        <f>INDEX(RECEITAS!$D$7:$O$24,SUPORTE!$C$106,I5)</f>
        <v>3500</v>
      </c>
      <c r="J106" s="57">
        <f>INDEX(RECEITAS!$D$7:$O$24,SUPORTE!$C$106,J5)</f>
        <v>3000</v>
      </c>
      <c r="K106" s="57">
        <f>INDEX(RECEITAS!$D$7:$O$24,SUPORTE!$C$106,K5)</f>
        <v>3000</v>
      </c>
      <c r="L106" s="57">
        <f>INDEX(RECEITAS!$D$7:$O$24,SUPORTE!$C$106,L5)</f>
        <v>3200</v>
      </c>
      <c r="M106" s="57">
        <f>INDEX(RECEITAS!$D$7:$O$24,SUPORTE!$C$106,M5)</f>
        <v>3200</v>
      </c>
      <c r="N106" s="57">
        <f>INDEX(RECEITAS!$D$7:$O$24,SUPORTE!$C$106,N5)</f>
        <v>3200</v>
      </c>
      <c r="O106" s="57">
        <f>INDEX(RECEITAS!$D$7:$O$24,SUPORTE!$C$106,O5)</f>
        <v>3200</v>
      </c>
      <c r="P106" s="5">
        <f>SUM(D106:O106)</f>
        <v>37300</v>
      </c>
      <c r="V106" s="127"/>
    </row>
    <row r="107" spans="1:22" x14ac:dyDescent="0.35">
      <c r="A107" s="21"/>
      <c r="D107" s="58">
        <f>IF(D106&lt;&gt;0,D106,"")</f>
        <v>3000</v>
      </c>
      <c r="E107" s="58">
        <f t="shared" ref="E107:O107" si="6">IF(E106&lt;&gt;0,E106,"")</f>
        <v>3000</v>
      </c>
      <c r="F107" s="58">
        <f t="shared" si="6"/>
        <v>3000</v>
      </c>
      <c r="G107" s="58">
        <f t="shared" si="6"/>
        <v>3000</v>
      </c>
      <c r="H107" s="58">
        <f t="shared" si="6"/>
        <v>3000</v>
      </c>
      <c r="I107" s="58">
        <f t="shared" si="6"/>
        <v>3500</v>
      </c>
      <c r="J107" s="58">
        <f t="shared" si="6"/>
        <v>3000</v>
      </c>
      <c r="K107" s="58">
        <f t="shared" si="6"/>
        <v>3000</v>
      </c>
      <c r="L107" s="58">
        <f t="shared" si="6"/>
        <v>3200</v>
      </c>
      <c r="M107" s="58">
        <f t="shared" si="6"/>
        <v>3200</v>
      </c>
      <c r="N107" s="58">
        <f t="shared" si="6"/>
        <v>3200</v>
      </c>
      <c r="O107" s="58">
        <f t="shared" si="6"/>
        <v>3200</v>
      </c>
      <c r="V107" s="127"/>
    </row>
    <row r="108" spans="1:22" x14ac:dyDescent="0.35">
      <c r="A108" s="22"/>
      <c r="B108" s="18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28"/>
    </row>
  </sheetData>
  <mergeCells count="6">
    <mergeCell ref="V61:V84"/>
    <mergeCell ref="V85:V108"/>
    <mergeCell ref="V44:V60"/>
    <mergeCell ref="V15:V25"/>
    <mergeCell ref="E28:F28"/>
    <mergeCell ref="V26:V43"/>
  </mergeCells>
  <phoneticPr fontId="3" type="noConversion"/>
  <conditionalFormatting sqref="N19:O19">
    <cfRule type="expression" dxfId="2" priority="3">
      <formula>$K$19&lt;0</formula>
    </cfRule>
  </conditionalFormatting>
  <conditionalFormatting sqref="N20:O23">
    <cfRule type="expression" dxfId="1" priority="2">
      <formula>$K$20&lt;0</formula>
    </cfRule>
  </conditionalFormatting>
  <conditionalFormatting sqref="S17">
    <cfRule type="expression" dxfId="0" priority="1">
      <formula>$S$16=1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3c9bec58-8084-492e-8360-0e1cfe36408c}" enabled="1" method="Standard" siteId="{f35a6974-607f-47d4-82d7-ff31d7dc53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INDEX</vt:lpstr>
      <vt:lpstr>MODELO</vt:lpstr>
      <vt:lpstr>RECEITAS</vt:lpstr>
      <vt:lpstr>DESPESAS</vt:lpstr>
      <vt:lpstr>INVESTIMENTOS</vt:lpstr>
      <vt:lpstr>DASHBOARD</vt:lpstr>
      <vt:lpstr>ANALISE MENSAL</vt:lpstr>
      <vt:lpstr>ANALISE RECEITA</vt:lpstr>
      <vt:lpstr>ANALISE DESPESA</vt:lpstr>
      <vt:lpstr>SUPORTE</vt:lpstr>
      <vt:lpstr>listbox_despesas</vt:lpstr>
      <vt:lpstr>listbox_receitas</vt:lpstr>
      <vt:lpstr>MESES</vt:lpstr>
      <vt:lpstr>meta_mes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Ramos, Victor De</cp:lastModifiedBy>
  <dcterms:created xsi:type="dcterms:W3CDTF">2019-12-28T03:46:46Z</dcterms:created>
  <dcterms:modified xsi:type="dcterms:W3CDTF">2025-08-12T14:20:52Z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78867ef5-885a-43a1-b426-d63a4058edff</vt:lpwstr>
  </property>
  <property fmtid="{D5CDD505-2E9C-101B-9397-08002B2CF9AE}" pid="3" name="MSIP_Label_3c9bec58-8084-492e-8360-0e1cfe36408c_Enabled">
    <vt:lpwstr>true</vt:lpwstr>
  </property>
  <property fmtid="{D5CDD505-2E9C-101B-9397-08002B2CF9AE}" pid="4" name="MSIP_Label_3c9bec58-8084-492e-8360-0e1cfe36408c_SetDate">
    <vt:lpwstr>2025-08-03T19:55:14Z</vt:lpwstr>
  </property>
  <property fmtid="{D5CDD505-2E9C-101B-9397-08002B2CF9AE}" pid="5" name="MSIP_Label_3c9bec58-8084-492e-8360-0e1cfe36408c_Method">
    <vt:lpwstr>Standard</vt:lpwstr>
  </property>
  <property fmtid="{D5CDD505-2E9C-101B-9397-08002B2CF9AE}" pid="6" name="MSIP_Label_3c9bec58-8084-492e-8360-0e1cfe36408c_Name">
    <vt:lpwstr>Not Protected -Pilot</vt:lpwstr>
  </property>
  <property fmtid="{D5CDD505-2E9C-101B-9397-08002B2CF9AE}" pid="7" name="MSIP_Label_3c9bec58-8084-492e-8360-0e1cfe36408c_SiteId">
    <vt:lpwstr>f35a6974-607f-47d4-82d7-ff31d7dc53a5</vt:lpwstr>
  </property>
  <property fmtid="{D5CDD505-2E9C-101B-9397-08002B2CF9AE}" pid="8" name="MSIP_Label_3c9bec58-8084-492e-8360-0e1cfe36408c_ActionId">
    <vt:lpwstr>98a0da46-fa84-4b0b-83fe-15947e7c55e6</vt:lpwstr>
  </property>
  <property fmtid="{D5CDD505-2E9C-101B-9397-08002B2CF9AE}" pid="9" name="MSIP_Label_3c9bec58-8084-492e-8360-0e1cfe36408c_ContentBits">
    <vt:lpwstr>0</vt:lpwstr>
  </property>
  <property fmtid="{D5CDD505-2E9C-101B-9397-08002B2CF9AE}" pid="10" name="MSIP_Label_3c9bec58-8084-492e-8360-0e1cfe36408c_Tag">
    <vt:lpwstr>10, 3, 0, 1</vt:lpwstr>
  </property>
</Properties>
</file>